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intra.eucnordvest.dk/afdelinger/udvogprojektafd/Udviklingsprojekter/Iværksætteri og jobskabelse/Budget og regnskab/"/>
    </mc:Choice>
  </mc:AlternateContent>
  <bookViews>
    <workbookView xWindow="0" yWindow="0" windowWidth="28800" windowHeight="12435"/>
  </bookViews>
  <sheets>
    <sheet name="Nyt budget samt noter" sheetId="2" r:id="rId1"/>
    <sheet name="Satser" sheetId="3" r:id="rId2"/>
    <sheet name="Ark2" sheetId="5" r:id="rId3"/>
  </sheets>
  <definedNames>
    <definedName name="_GoBack" localSheetId="0">'Nyt budget samt noter'!#REF!</definedName>
    <definedName name="_Toc453244762" localSheetId="0">'Nyt budget samt noter'!#REF!</definedName>
  </definedNames>
  <calcPr calcId="152511"/>
</workbook>
</file>

<file path=xl/calcChain.xml><?xml version="1.0" encoding="utf-8"?>
<calcChain xmlns="http://schemas.openxmlformats.org/spreadsheetml/2006/main">
  <c r="E183" i="2" l="1"/>
  <c r="E174" i="2"/>
  <c r="G174" i="2"/>
  <c r="H174" i="2"/>
  <c r="I174" i="2"/>
  <c r="J174" i="2"/>
  <c r="K174" i="2"/>
  <c r="L174" i="2"/>
  <c r="F174" i="2"/>
  <c r="E165" i="2"/>
  <c r="D6" i="2" l="1"/>
  <c r="L164" i="2" l="1"/>
  <c r="K164" i="2"/>
  <c r="J164" i="2"/>
  <c r="I164" i="2"/>
  <c r="H164" i="2"/>
  <c r="G164" i="2"/>
  <c r="F164" i="2"/>
  <c r="F77" i="2"/>
  <c r="F75" i="2"/>
  <c r="F73" i="2"/>
  <c r="D78" i="2"/>
  <c r="E180" i="2" s="1"/>
  <c r="J180" i="2" s="1"/>
  <c r="E44" i="2"/>
  <c r="E75" i="2"/>
  <c r="E73" i="2"/>
  <c r="E64" i="2"/>
  <c r="E62" i="2"/>
  <c r="E52" i="2"/>
  <c r="H180" i="2" l="1"/>
  <c r="L180" i="2"/>
  <c r="K180" i="2"/>
  <c r="G180" i="2"/>
  <c r="I180" i="2"/>
  <c r="F180" i="2"/>
  <c r="D102" i="2"/>
  <c r="D103" i="2"/>
  <c r="D104" i="2"/>
  <c r="D105" i="2"/>
  <c r="D106" i="2"/>
  <c r="D107" i="2"/>
  <c r="D101" i="2"/>
  <c r="E77" i="2"/>
  <c r="E66" i="2"/>
  <c r="F50" i="2"/>
  <c r="F51" i="2"/>
  <c r="E46" i="2"/>
  <c r="E45" i="2"/>
  <c r="D108" i="2" l="1"/>
  <c r="D109" i="2" s="1"/>
  <c r="D111" i="2" s="1"/>
  <c r="C125" i="2" l="1"/>
  <c r="C165" i="2" s="1"/>
  <c r="C126" i="2"/>
  <c r="C127" i="2"/>
  <c r="C131" i="2"/>
  <c r="C132" i="2"/>
  <c r="C169" i="2" s="1"/>
  <c r="C133" i="2"/>
  <c r="C139" i="2"/>
  <c r="B38" i="2"/>
  <c r="C95" i="2" l="1"/>
  <c r="D123" i="2"/>
  <c r="A22" i="2"/>
  <c r="A13" i="2"/>
  <c r="E70" i="2"/>
  <c r="F70" i="2"/>
  <c r="D70" i="2"/>
  <c r="C40" i="2" l="1"/>
  <c r="A9" i="2" l="1"/>
  <c r="C156" i="2"/>
  <c r="C158" i="2"/>
  <c r="C157" i="2"/>
  <c r="C155" i="2"/>
  <c r="C154" i="2"/>
  <c r="C123" i="2"/>
  <c r="C145" i="2"/>
  <c r="C152" i="2"/>
  <c r="C49" i="2"/>
  <c r="D88" i="2"/>
  <c r="C146" i="2"/>
  <c r="C144" i="2"/>
  <c r="C143" i="2"/>
  <c r="C142" i="2"/>
  <c r="C141" i="2"/>
  <c r="C138" i="2"/>
  <c r="C170" i="2"/>
  <c r="C168" i="2"/>
  <c r="C130" i="2"/>
  <c r="C167" i="2"/>
  <c r="C166" i="2"/>
  <c r="C124" i="2"/>
  <c r="A6" i="2" l="1"/>
  <c r="A7" i="2"/>
  <c r="F79" i="2"/>
  <c r="D52" i="2"/>
  <c r="D98" i="2"/>
  <c r="D113" i="2" s="1"/>
  <c r="D114" i="2" s="1"/>
  <c r="E79" i="2" l="1"/>
  <c r="D145" i="2"/>
  <c r="E171" i="2" s="1"/>
  <c r="F64" i="2"/>
  <c r="F66" i="2"/>
  <c r="F62" i="2"/>
  <c r="C79" i="2"/>
  <c r="K171" i="2" l="1"/>
  <c r="L171" i="2"/>
  <c r="H171" i="2"/>
  <c r="I171" i="2"/>
  <c r="G171" i="2"/>
  <c r="F171" i="2"/>
  <c r="J171" i="2"/>
  <c r="D115" i="2"/>
  <c r="F67" i="2"/>
  <c r="F117" i="2" s="1"/>
  <c r="E67" i="2"/>
  <c r="E51" i="2"/>
  <c r="D13" i="2" l="1"/>
  <c r="E173" i="2"/>
  <c r="F173" i="2" s="1"/>
  <c r="E117" i="2"/>
  <c r="E50" i="2"/>
  <c r="E53" i="2" s="1"/>
  <c r="D85" i="2"/>
  <c r="E43" i="2"/>
  <c r="L173" i="2" l="1"/>
  <c r="H173" i="2"/>
  <c r="I173" i="2"/>
  <c r="G173" i="2"/>
  <c r="J173" i="2"/>
  <c r="K173" i="2"/>
  <c r="D89" i="2"/>
  <c r="F44" i="2" l="1"/>
  <c r="D44" i="2" l="1"/>
  <c r="D142" i="2" s="1"/>
  <c r="E177" i="2" s="1"/>
  <c r="L177" i="2" l="1"/>
  <c r="H177" i="2"/>
  <c r="K177" i="2"/>
  <c r="I177" i="2"/>
  <c r="G177" i="2"/>
  <c r="J177" i="2"/>
  <c r="F177" i="2"/>
  <c r="D50" i="2"/>
  <c r="D51" i="2"/>
  <c r="D8" i="2"/>
  <c r="D53" i="2" l="1"/>
  <c r="D32" i="2" s="1"/>
  <c r="D64" i="2"/>
  <c r="D66" i="2"/>
  <c r="D62" i="2"/>
  <c r="D77" i="2"/>
  <c r="E170" i="2" s="1"/>
  <c r="D75" i="2"/>
  <c r="D73" i="2"/>
  <c r="I170" i="2" l="1"/>
  <c r="G170" i="2"/>
  <c r="F170" i="2"/>
  <c r="H170" i="2"/>
  <c r="J170" i="2"/>
  <c r="K170" i="2"/>
  <c r="L170" i="2"/>
  <c r="D126" i="2"/>
  <c r="E166" i="2" s="1"/>
  <c r="D133" i="2"/>
  <c r="D33" i="2"/>
  <c r="D157" i="2"/>
  <c r="D125" i="2"/>
  <c r="D67" i="2"/>
  <c r="D131" i="2"/>
  <c r="E168" i="2" s="1"/>
  <c r="D79" i="2"/>
  <c r="D127" i="2"/>
  <c r="D132" i="2"/>
  <c r="I166" i="2" l="1"/>
  <c r="J166" i="2"/>
  <c r="L166" i="2"/>
  <c r="H166" i="2"/>
  <c r="K166" i="2"/>
  <c r="G166" i="2"/>
  <c r="F166" i="2"/>
  <c r="K168" i="2"/>
  <c r="F168" i="2"/>
  <c r="L168" i="2"/>
  <c r="H168" i="2"/>
  <c r="I168" i="2"/>
  <c r="G168" i="2"/>
  <c r="J168" i="2"/>
  <c r="L165" i="2"/>
  <c r="H165" i="2"/>
  <c r="I165" i="2"/>
  <c r="K165" i="2"/>
  <c r="G165" i="2"/>
  <c r="J165" i="2"/>
  <c r="F165" i="2"/>
  <c r="D134" i="2"/>
  <c r="E169" i="2"/>
  <c r="D128" i="2"/>
  <c r="E167" i="2"/>
  <c r="E172" i="2" l="1"/>
  <c r="J169" i="2"/>
  <c r="I169" i="2"/>
  <c r="F169" i="2"/>
  <c r="K169" i="2"/>
  <c r="L169" i="2"/>
  <c r="H169" i="2"/>
  <c r="G169" i="2"/>
  <c r="L167" i="2"/>
  <c r="H167" i="2"/>
  <c r="I167" i="2"/>
  <c r="G167" i="2"/>
  <c r="J167" i="2"/>
  <c r="K167" i="2"/>
  <c r="F167" i="2"/>
  <c r="D135" i="2"/>
  <c r="F43" i="2"/>
  <c r="L172" i="2" l="1"/>
  <c r="H172" i="2"/>
  <c r="J172" i="2"/>
  <c r="F172" i="2"/>
  <c r="I172" i="2"/>
  <c r="K172" i="2"/>
  <c r="G172" i="2"/>
  <c r="D86" i="2"/>
  <c r="D84" i="2"/>
  <c r="D91" i="2" l="1"/>
  <c r="D7" i="2" l="1"/>
  <c r="D146" i="2"/>
  <c r="F45" i="2" l="1"/>
  <c r="F46" i="2" l="1"/>
  <c r="F42" i="2"/>
  <c r="F41" i="2"/>
  <c r="D39" i="2"/>
  <c r="E42" i="2" l="1"/>
  <c r="E41" i="2"/>
  <c r="D45" i="2"/>
  <c r="D43" i="2"/>
  <c r="D141" i="2" s="1"/>
  <c r="E178" i="2" s="1"/>
  <c r="K178" i="2" l="1"/>
  <c r="J178" i="2"/>
  <c r="F178" i="2"/>
  <c r="L178" i="2"/>
  <c r="H178" i="2"/>
  <c r="I178" i="2"/>
  <c r="G178" i="2"/>
  <c r="D143" i="2"/>
  <c r="E47" i="2"/>
  <c r="E55" i="2" s="1"/>
  <c r="D42" i="2"/>
  <c r="D139" i="2" s="1"/>
  <c r="E176" i="2" s="1"/>
  <c r="D46" i="2"/>
  <c r="D41" i="2"/>
  <c r="I176" i="2" l="1"/>
  <c r="G176" i="2"/>
  <c r="H176" i="2"/>
  <c r="J176" i="2"/>
  <c r="F176" i="2"/>
  <c r="K176" i="2"/>
  <c r="L176" i="2"/>
  <c r="D144" i="2"/>
  <c r="E179" i="2" s="1"/>
  <c r="D138" i="2"/>
  <c r="E175" i="2" s="1"/>
  <c r="D47" i="2"/>
  <c r="D5" i="2" s="1"/>
  <c r="F175" i="2" l="1"/>
  <c r="L175" i="2"/>
  <c r="G175" i="2"/>
  <c r="H175" i="2"/>
  <c r="J175" i="2"/>
  <c r="I175" i="2"/>
  <c r="K175" i="2"/>
  <c r="G179" i="2"/>
  <c r="L179" i="2"/>
  <c r="K179" i="2"/>
  <c r="J179" i="2"/>
  <c r="I179" i="2"/>
  <c r="H179" i="2"/>
  <c r="F179" i="2"/>
  <c r="D9" i="2"/>
  <c r="D10" i="2" s="1"/>
  <c r="D55" i="2" l="1"/>
  <c r="D95" i="2" l="1"/>
  <c r="D117" i="2" l="1"/>
  <c r="D147" i="2"/>
  <c r="D148" i="2" s="1"/>
  <c r="E181" i="2" l="1"/>
  <c r="D14" i="2"/>
  <c r="D16" i="2" s="1"/>
  <c r="D17" i="2" s="1"/>
  <c r="D150" i="2"/>
  <c r="D152" i="2" s="1"/>
  <c r="D22" i="2"/>
  <c r="D20" i="2" l="1"/>
  <c r="E182" i="2"/>
  <c r="L181" i="2"/>
  <c r="K181" i="2"/>
  <c r="J181" i="2"/>
  <c r="I181" i="2"/>
  <c r="H181" i="2"/>
  <c r="G181" i="2"/>
  <c r="F181" i="2"/>
  <c r="D25" i="2"/>
  <c r="D156" i="2"/>
  <c r="L182" i="2" l="1"/>
  <c r="K182" i="2"/>
  <c r="J182" i="2"/>
  <c r="I182" i="2"/>
  <c r="H182" i="2"/>
  <c r="F182" i="2"/>
  <c r="G182" i="2"/>
  <c r="D155" i="2"/>
  <c r="D158" i="2" s="1"/>
  <c r="D34" i="2"/>
  <c r="E125" i="2" l="1"/>
  <c r="D35" i="2"/>
  <c r="G183" i="2"/>
  <c r="L183" i="2"/>
  <c r="K183" i="2"/>
  <c r="J183" i="2"/>
  <c r="I183" i="2"/>
  <c r="H183" i="2"/>
  <c r="F183" i="2"/>
  <c r="E138" i="2"/>
  <c r="E150" i="2"/>
  <c r="E127" i="2"/>
  <c r="E131" i="2"/>
  <c r="E133" i="2"/>
  <c r="E132" i="2"/>
  <c r="E126" i="2"/>
  <c r="E145" i="2"/>
  <c r="E146" i="2"/>
  <c r="E144" i="2"/>
  <c r="E147" i="2"/>
  <c r="E139" i="2"/>
  <c r="E141" i="2"/>
  <c r="E142" i="2"/>
  <c r="E143" i="2"/>
  <c r="E158" i="2" l="1"/>
  <c r="D118" i="2"/>
</calcChain>
</file>

<file path=xl/comments1.xml><?xml version="1.0" encoding="utf-8"?>
<comments xmlns="http://schemas.openxmlformats.org/spreadsheetml/2006/main">
  <authors>
    <author>Monica Klein</author>
  </authors>
  <commentList>
    <comment ref="E50" authorId="0" shapeId="0">
      <text>
        <r>
          <rPr>
            <b/>
            <sz val="9"/>
            <color indexed="81"/>
            <rFont val="Tahoma"/>
            <family val="2"/>
          </rPr>
          <t>Monica Klein:</t>
        </r>
        <r>
          <rPr>
            <sz val="9"/>
            <color indexed="81"/>
            <rFont val="Tahoma"/>
            <family val="2"/>
          </rPr>
          <t xml:space="preserve">
Samarbejde mellem indsatsgruppe 1 og 3. jf. samarbejdet i:
"2 dags introforløb på EUD", 
"Sommerskolemodel" og 
"Forstærket ungdomsmiljø". 
Timer: 200+200+296</t>
        </r>
      </text>
    </comment>
  </commentList>
</comments>
</file>

<file path=xl/sharedStrings.xml><?xml version="1.0" encoding="utf-8"?>
<sst xmlns="http://schemas.openxmlformats.org/spreadsheetml/2006/main" count="176" uniqueCount="160">
  <si>
    <t>Kontonr.</t>
  </si>
  <si>
    <t>Økonomi</t>
  </si>
  <si>
    <t>Satser:</t>
  </si>
  <si>
    <t>kr. pr. dag</t>
  </si>
  <si>
    <t>Fuldtidsforsikrede</t>
  </si>
  <si>
    <t>Deltidsforsikrede</t>
  </si>
  <si>
    <t>Dimittender, fuldtid</t>
  </si>
  <si>
    <t>Dimittender, deltid</t>
  </si>
  <si>
    <t>Mindstesats</t>
  </si>
  <si>
    <t>Dagpenge:</t>
  </si>
  <si>
    <t>1 ledig o. 25 år på dagpenge vil kunne dokumentere en medfinansiering på:</t>
  </si>
  <si>
    <t>I alt</t>
  </si>
  <si>
    <t>Lønsats</t>
  </si>
  <si>
    <t>I alt lønafholdelse</t>
  </si>
  <si>
    <t xml:space="preserve">I alt </t>
  </si>
  <si>
    <t xml:space="preserve">Udgifter </t>
  </si>
  <si>
    <t>Total budget</t>
  </si>
  <si>
    <t>Ekstern konsulentbistand</t>
  </si>
  <si>
    <t>Deltagerunderhold, standardsats</t>
  </si>
  <si>
    <t>Samlede støtteberettigede udgifter</t>
  </si>
  <si>
    <t>Finansiering</t>
  </si>
  <si>
    <t>Deltagerfinansiering</t>
  </si>
  <si>
    <t>Statslig deltagerfinansiering</t>
  </si>
  <si>
    <t>Kommunal deltagerfinansiering</t>
  </si>
  <si>
    <t>Samlet finansiering</t>
  </si>
  <si>
    <t>Vejledning 18%</t>
  </si>
  <si>
    <t>Udgifter til projektgennemførelse</t>
  </si>
  <si>
    <t>Projektarbejde, faktiske løn</t>
  </si>
  <si>
    <t>Andet</t>
  </si>
  <si>
    <t>i alt</t>
  </si>
  <si>
    <t>Samlede udgifter</t>
  </si>
  <si>
    <t>Socialfond medfinansiering og Erhvervsstyrelsens finanslovsbevilling</t>
  </si>
  <si>
    <t>EU.medfinansiering (EFS støtte)</t>
  </si>
  <si>
    <t>Egenfinansiering</t>
  </si>
  <si>
    <t>Egenfinansiering beregnet (skal fordeles)</t>
  </si>
  <si>
    <t>Sum af fordelt egenfinansiering</t>
  </si>
  <si>
    <t>Udgifter til deltagerløn og deltagerunderhold</t>
  </si>
  <si>
    <t>Deltagerløn, faktisk løn</t>
  </si>
  <si>
    <t xml:space="preserve"> </t>
  </si>
  <si>
    <t>Revisionsudgifter (Deloitte)</t>
  </si>
  <si>
    <t>Forhåndsgodkendelse, obligatorisk</t>
  </si>
  <si>
    <t>Hotline-service, obligatorisk</t>
  </si>
  <si>
    <t>Opstartsmøde, tilvalgsydelse</t>
  </si>
  <si>
    <t>Konti for budgetter under Socialfonden, 18 %</t>
  </si>
  <si>
    <t>Øvrige udgifter 18% af ovenstående</t>
  </si>
  <si>
    <t>Offentligt lignende deltagerfinansiering</t>
  </si>
  <si>
    <t>Kontante tilskud</t>
  </si>
  <si>
    <t>Kontante kommunale tilskud</t>
  </si>
  <si>
    <t>Kommunal egenfinansiering</t>
  </si>
  <si>
    <t>Offentlig lignende egenfinansiering</t>
  </si>
  <si>
    <t xml:space="preserve">Standardsats pr. time </t>
  </si>
  <si>
    <t>Note</t>
  </si>
  <si>
    <t>Antal projekttimer</t>
  </si>
  <si>
    <t>https://regionalt.erhvervsstyrelsen.dk/revisor-paa-kontrolbesoeg</t>
  </si>
  <si>
    <t>Øvrige udgifter til husleje, el, vand, varme, kontorartikler, porto, telefon, internet, rengøring, pedel/vicevært, reception, reparation og vedligehold, it-service, annoncering, afskrivninger, leje/leasing, materialer og forbrugsartikler, fortæring, rejser, ikke-refunderbar moms, bankudgifter, andre finansielle udgifter, forsikringer, taxameter.</t>
  </si>
  <si>
    <t>EUD elevtimer</t>
  </si>
  <si>
    <t xml:space="preserve">I alt antal elever </t>
  </si>
  <si>
    <t>Egenfinansiering, standardsats i alt</t>
  </si>
  <si>
    <t xml:space="preserve">Hovedaktivitet 1 </t>
  </si>
  <si>
    <t xml:space="preserve">Styregruppens projektdeltagelse </t>
  </si>
  <si>
    <t>2 ekstra pladser til kursus om administration af strukturfondsprojekter</t>
  </si>
  <si>
    <t/>
  </si>
  <si>
    <t>”SKABELSEN AF DEN ENTREPRENØRIELLE SKOLE”</t>
  </si>
  <si>
    <t>”UNDERVISNING I ENTREPRENØRSKAB”</t>
  </si>
  <si>
    <t>Hovedaktivitet 2</t>
  </si>
  <si>
    <t>Udarbejdelse af entreprenante forløbs-og undervisningsbeskrivelser</t>
  </si>
  <si>
    <t>Udvikling af entreprenante caseforløb til undervisningen</t>
  </si>
  <si>
    <t>Vidensdeling på tværs af skolerne/uddannelserne</t>
  </si>
  <si>
    <t>Supervision og feedback til undervisere om entreprenant undervisning</t>
  </si>
  <si>
    <t>”OctoSkills” - målingsværktøj af undervisningsformer og entreprenørielle færdigheder</t>
  </si>
  <si>
    <t>Hackathons/iværksætter crash-course</t>
  </si>
  <si>
    <t>Projektarbejde, faktiske udgifter i alt</t>
  </si>
  <si>
    <t>PROJEKTBUDGET</t>
  </si>
  <si>
    <t>PROJEKTBUDGET I ALT</t>
  </si>
  <si>
    <r>
      <t xml:space="preserve">4 iværksætterkoordinatorer fuldtidsansættes til partnerdeling 
</t>
    </r>
    <r>
      <rPr>
        <sz val="11"/>
        <color theme="1"/>
        <rFont val="Calibri"/>
        <family val="2"/>
        <scheme val="minor"/>
      </rPr>
      <t>- 1 opstartsworkshop hvor ledelsen inddrages
- 6 artikler med ledelsesvinkel
- Udvikling af 6 platforme og materialer til deling på Wix.com</t>
    </r>
    <r>
      <rPr>
        <b/>
        <sz val="11"/>
        <color theme="1"/>
        <rFont val="Calibri"/>
        <family val="2"/>
        <scheme val="minor"/>
      </rPr>
      <t xml:space="preserve">
</t>
    </r>
  </si>
  <si>
    <t xml:space="preserve">Egenfinansiering omregnet til timer, eleverne indgår dirkete i projektet  </t>
  </si>
  <si>
    <t>1-9</t>
  </si>
  <si>
    <t>7-9</t>
  </si>
  <si>
    <t>Antal timer a. 60 min. pr. elev</t>
  </si>
  <si>
    <t xml:space="preserve">Deltagerunderhold </t>
  </si>
  <si>
    <t>I alt antal elever i projektperiode (3 år)</t>
  </si>
  <si>
    <t>Antal elever i projektperioden, start- og slutskema</t>
  </si>
  <si>
    <t>6 partnerrevision</t>
  </si>
  <si>
    <t>1 projektregnskab</t>
  </si>
  <si>
    <t>6 perioderegnskab (halvårligt) med forventning om projektperioden kan forlænges.</t>
  </si>
  <si>
    <t>2 projektbesøg - minimum ét kontrolbesøg, obligatorisk</t>
  </si>
  <si>
    <t xml:space="preserve">Antal deltagere årligt o. 18 år med ydelse </t>
  </si>
  <si>
    <t>Mål</t>
  </si>
  <si>
    <t>Øvrige omkostninger</t>
  </si>
  <si>
    <t>Øvrige omkostninger i alt</t>
  </si>
  <si>
    <t>Deltagerunderhold</t>
  </si>
  <si>
    <t>Aktivitet 1</t>
  </si>
  <si>
    <t>Aktivitet 2</t>
  </si>
  <si>
    <t>Aktivitet 3</t>
  </si>
  <si>
    <t>Aktivitet 4</t>
  </si>
  <si>
    <t>Aktivitet 5</t>
  </si>
  <si>
    <t>Aktivitet 6</t>
  </si>
  <si>
    <t>Revision &amp; kvalitet</t>
  </si>
  <si>
    <t>Administration</t>
  </si>
  <si>
    <t>Overhead</t>
  </si>
  <si>
    <t>Deloitte revision - 2017 priser eksl. moms</t>
  </si>
  <si>
    <t>HovedaktivItet 1 og 2 og de 6 delaktiviteter i alt</t>
  </si>
  <si>
    <t>Koordinatorer</t>
  </si>
  <si>
    <t>It-medarbejder</t>
  </si>
  <si>
    <t>Fordelingsnøgle</t>
  </si>
  <si>
    <t>Projekttimer jf. projektbudget, hovedaktivitet 1</t>
  </si>
  <si>
    <t>Projekttimer jf. projektbudget, hovedaktivitet 2</t>
  </si>
  <si>
    <t>Udvikling af materialer til deling på Wix.com</t>
  </si>
  <si>
    <t>Måling af projektkvalitet</t>
  </si>
  <si>
    <t>Projektadm.</t>
  </si>
  <si>
    <t>Projektledelse</t>
  </si>
  <si>
    <t>Projektorganisationsledelse</t>
  </si>
  <si>
    <t>Revision</t>
  </si>
  <si>
    <t>Overhead til øvrige udgifter</t>
  </si>
  <si>
    <t>Projektmedarbejdere indgår under hovedaktivitet 1 og 2 som egenfinansiering</t>
  </si>
  <si>
    <t>Jf. note 2, Projektarbejde, faktiske løn</t>
  </si>
  <si>
    <t xml:space="preserve">Arbejdstimer årligt if. EU-program 2014-2020 </t>
  </si>
  <si>
    <t>Difference mellem projektbudget og finansiering</t>
  </si>
  <si>
    <t>Manglende egenfinansiering</t>
  </si>
  <si>
    <t>PROJEKTBUDGET, resumé</t>
  </si>
  <si>
    <t xml:space="preserve">3 arbejdsgruppemøder 4 gange årligt og udvikling af 5 platformen på Wix.com </t>
  </si>
  <si>
    <t>20 entreprenante caseforløb udvikles, mindst 5 virksomheder inddrages</t>
  </si>
  <si>
    <t xml:space="preserve">Kr. </t>
  </si>
  <si>
    <t>10 entreprenante forløb- og undervisningsbeskrivelser udvikles</t>
  </si>
  <si>
    <t>21 hackathons eller iværksætter crash-course afholdes, hvor mindst 5 virksomheder inddrages</t>
  </si>
  <si>
    <t>(Projektarbejde jf. note 2)</t>
  </si>
  <si>
    <t>(Projektarbejde jf. note 7)</t>
  </si>
  <si>
    <t>(Projektarbejde jf. note 8)</t>
  </si>
  <si>
    <t>Noteangivelse</t>
  </si>
  <si>
    <t>Hovedaktivtet i alt</t>
  </si>
  <si>
    <t>Kvalitetsmedarbejder (10 timer/mdr. x 24mdr.) - Tovholder</t>
  </si>
  <si>
    <t>It-medarbejder til introduktion til wixsite.com - Tovholder</t>
  </si>
  <si>
    <t>4 iværksætterkoordinator, med ”kontortid” og forankringsfokus på partnerskolerne, fuldtidsansættes</t>
  </si>
  <si>
    <t>Administrativ controller (40 timer/mdr. x 36 mdr.) - Tovholder</t>
  </si>
  <si>
    <t>Administrativt personale til partnerskolerne (over 34 mdr.)</t>
  </si>
  <si>
    <t xml:space="preserve">4 Iværksætterkoordinatorer (34 mdr. fuldtidsstilling) </t>
  </si>
  <si>
    <t>Projektleder (36 mdr. deltidsstilling) - Tovholder</t>
  </si>
  <si>
    <t xml:space="preserve">Beregningsmetode: 3 arbejdsgruppemøder med fokus på vidensdeling afholdes 4 gange årligt for undervisere med sammenlignelige fag på tværs af skolerne/uddannelserne:
 - 9 møder x 4 undervisere (gennemsnitligt) x 5 timer m. transport
</t>
  </si>
  <si>
    <t xml:space="preserve">Projekttimeberegning: 21 hackathons eller iværksætter crash-course afholdes, hvor mindst 5 virksomheder inddrages:
 - 3 hackathons x 7 skoler x 4 undervisere x 10 timer
</t>
  </si>
  <si>
    <t xml:space="preserve">Beregningsmetode: 10 entreprenante forløbs-/undervisningsbeskrivelser udvikles:
 - 10 beskrivelser x 4 undervisere (gennemsnitligt) x 14 timer
</t>
  </si>
  <si>
    <t xml:space="preserve">Beregningsmetode: 20 uddybende/tidssvarende entreprenante caseforløb udvikles til undervisningen, hvor mindst 5 virksomheder inddrages:
 - 20 cases x 4 undervisere (gennemsnitligt) x 14 timer
</t>
  </si>
  <si>
    <t xml:space="preserve">Projekttimeberegning: 168 undervisere benytter ”OctoSkills” app’en og måler den indflydelse undervisningsformen har på eleven:
 - 168 undervisere x 6 timer
</t>
  </si>
  <si>
    <t>168 undervisere modtager sparring/supervision, hvor 2.000 elever deltager</t>
  </si>
  <si>
    <t xml:space="preserve">168 undervisere og 1.680 elever benytter ”OctoSkills” app’en </t>
  </si>
  <si>
    <t xml:space="preserve">Konsulentydelse til Hackathons/iværksætter crash-course                                                                                              </t>
  </si>
  <si>
    <t>Ekstern konsulentydelse</t>
  </si>
  <si>
    <t>Styregruppe</t>
  </si>
  <si>
    <t xml:space="preserve">7. Aalborghus Gymnasium </t>
  </si>
  <si>
    <t>1. EUC Nordvest</t>
  </si>
  <si>
    <t xml:space="preserve">2. Erhvervsskolerne Aars </t>
  </si>
  <si>
    <t>3. Aalborg Handelsskole</t>
  </si>
  <si>
    <t xml:space="preserve">4. HF&amp;VUC Thy-Mors </t>
  </si>
  <si>
    <t>5. Hjørring Gymnasium og HF-kursus</t>
  </si>
  <si>
    <t xml:space="preserve">6. Hasseris Gymnasium </t>
  </si>
  <si>
    <t>Partnerskabets egenfinansiering: 168 underviser/7 styregruppemedlemmer til deltagelse i hovedaktivitet 1 &amp; 2 (beregnet med udgangspunkt i gennemsnitligt 8 underviser årligt pr. skole)</t>
  </si>
  <si>
    <t>Deltagerunderhold, 1.680 elever til standardsats kr. 114,72/time (beregnet med udgangspunkt i gennemsnitligt 80 elever årligt pr. skole)</t>
  </si>
  <si>
    <t>PARNERSKABETS SAMLEDE PROJEKTFINANSIERING</t>
  </si>
  <si>
    <t xml:space="preserve">Projekttimeberegning: 168 undervisere bliver rådgivet/modtager sparring og supervision om entreprenant undervisning:
 - 168 undervisere x 24 timer i ny undervisning + 8 timer til sparring
</t>
  </si>
  <si>
    <t>Egenfinansiering i alt</t>
  </si>
  <si>
    <t>Projektstøtte i alt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</si>
</sst>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&quot;kr&quot;\ * #,##0.00_ ;_ &quot;kr&quot;\ * \-#,##0.00_ ;_ &quot;kr&quot;\ * &quot;-&quot;??_ ;_ @_ "/>
    <numFmt numFmtId="165" formatCode="&quot;kr.&quot;\ #,##0.00"/>
    <numFmt numFmtId="166" formatCode="&quot;kr.&quot;\ #,##0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2"/>
      <color theme="3" tint="-0.499984740745262"/>
      <name val="Calibri"/>
      <family val="2"/>
      <scheme val="minor"/>
    </font>
    <font>
      <b/>
      <sz val="11"/>
      <color theme="3" tint="-0.499984740745262"/>
      <name val="Calibri"/>
      <family val="2"/>
      <scheme val="minor"/>
    </font>
    <font>
      <b/>
      <i/>
      <sz val="11"/>
      <color theme="3" tint="-0.499984740745262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color theme="3" tint="-0.499984740745262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1"/>
      <color rgb="FF7F7F7F"/>
      <name val="Calibri"/>
      <family val="2"/>
      <scheme val="minor"/>
    </font>
    <font>
      <b/>
      <sz val="10"/>
      <color theme="3"/>
      <name val="Calibri"/>
      <family val="2"/>
      <scheme val="minor"/>
    </font>
    <font>
      <b/>
      <sz val="16"/>
      <color theme="3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ck">
        <color theme="4"/>
      </top>
      <bottom/>
      <diagonal/>
    </border>
    <border>
      <left/>
      <right/>
      <top/>
      <bottom style="medium">
        <color theme="4" tint="0.39997558519241921"/>
      </bottom>
      <diagonal/>
    </border>
  </borders>
  <cellStyleXfs count="11">
    <xf numFmtId="0" fontId="0" fillId="0" borderId="0"/>
    <xf numFmtId="164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2" applyNumberFormat="0" applyFill="0" applyAlignment="0" applyProtection="0"/>
    <xf numFmtId="0" fontId="22" fillId="4" borderId="0" applyNumberFormat="0" applyBorder="0" applyAlignment="0" applyProtection="0"/>
    <xf numFmtId="0" fontId="23" fillId="0" borderId="0" applyNumberFormat="0" applyFill="0" applyBorder="0" applyAlignment="0" applyProtection="0"/>
    <xf numFmtId="0" fontId="1" fillId="5" borderId="3" applyNumberFormat="0" applyFont="0" applyAlignment="0" applyProtection="0"/>
    <xf numFmtId="0" fontId="24" fillId="0" borderId="0" applyNumberFormat="0" applyFill="0" applyBorder="0" applyAlignment="0" applyProtection="0"/>
    <xf numFmtId="0" fontId="2" fillId="0" borderId="4" applyNumberFormat="0" applyFill="0" applyAlignment="0" applyProtection="0"/>
    <xf numFmtId="0" fontId="1" fillId="6" borderId="0" applyNumberFormat="0" applyBorder="0" applyAlignment="0" applyProtection="0"/>
    <xf numFmtId="0" fontId="23" fillId="0" borderId="6" applyNumberFormat="0" applyFill="0" applyAlignment="0" applyProtection="0"/>
  </cellStyleXfs>
  <cellXfs count="257">
    <xf numFmtId="0" fontId="0" fillId="0" borderId="0" xfId="0"/>
    <xf numFmtId="0" fontId="2" fillId="0" borderId="0" xfId="0" applyFont="1"/>
    <xf numFmtId="0" fontId="0" fillId="0" borderId="0" xfId="0" applyFont="1"/>
    <xf numFmtId="4" fontId="0" fillId="0" borderId="0" xfId="0" applyNumberFormat="1"/>
    <xf numFmtId="0" fontId="3" fillId="0" borderId="1" xfId="0" applyFont="1" applyBorder="1" applyAlignment="1">
      <alignment vertical="top"/>
    </xf>
    <xf numFmtId="0" fontId="0" fillId="0" borderId="1" xfId="0" applyBorder="1" applyAlignment="1">
      <alignment vertical="top"/>
    </xf>
    <xf numFmtId="0" fontId="0" fillId="0" borderId="1" xfId="0" applyBorder="1" applyAlignment="1">
      <alignment vertical="top" wrapText="1"/>
    </xf>
    <xf numFmtId="0" fontId="0" fillId="0" borderId="1" xfId="0" applyBorder="1" applyAlignment="1"/>
    <xf numFmtId="0" fontId="0" fillId="0" borderId="1" xfId="0" applyBorder="1"/>
    <xf numFmtId="0" fontId="0" fillId="2" borderId="1" xfId="0" applyFill="1" applyBorder="1" applyAlignment="1">
      <alignment vertical="top"/>
    </xf>
    <xf numFmtId="0" fontId="0" fillId="2" borderId="1" xfId="0" applyFill="1" applyBorder="1" applyAlignment="1">
      <alignment vertical="top" wrapText="1"/>
    </xf>
    <xf numFmtId="0" fontId="4" fillId="2" borderId="1" xfId="0" applyFont="1" applyFill="1" applyBorder="1" applyAlignment="1">
      <alignment horizontal="right" wrapText="1"/>
    </xf>
    <xf numFmtId="0" fontId="0" fillId="2" borderId="1" xfId="0" applyFill="1" applyBorder="1" applyAlignment="1"/>
    <xf numFmtId="0" fontId="0" fillId="2" borderId="1" xfId="0" applyFill="1" applyBorder="1" applyAlignment="1">
      <alignment wrapText="1"/>
    </xf>
    <xf numFmtId="164" fontId="0" fillId="2" borderId="1" xfId="1" applyFont="1" applyFill="1" applyBorder="1" applyAlignment="1">
      <alignment horizontal="right" wrapText="1"/>
    </xf>
    <xf numFmtId="0" fontId="0" fillId="3" borderId="0" xfId="0" applyFill="1"/>
    <xf numFmtId="0" fontId="0" fillId="0" borderId="0" xfId="0" applyFill="1"/>
    <xf numFmtId="0" fontId="5" fillId="0" borderId="0" xfId="0" applyFont="1" applyFill="1"/>
    <xf numFmtId="4" fontId="2" fillId="0" borderId="0" xfId="0" applyNumberFormat="1" applyFont="1"/>
    <xf numFmtId="0" fontId="7" fillId="0" borderId="0" xfId="2"/>
    <xf numFmtId="0" fontId="0" fillId="0" borderId="0" xfId="0" applyFont="1" applyFill="1"/>
    <xf numFmtId="0" fontId="0" fillId="0" borderId="0" xfId="0" applyAlignment="1">
      <alignment wrapText="1"/>
    </xf>
    <xf numFmtId="0" fontId="2" fillId="0" borderId="0" xfId="0" applyFont="1" applyAlignment="1">
      <alignment vertical="top"/>
    </xf>
    <xf numFmtId="3" fontId="0" fillId="0" borderId="0" xfId="0" applyNumberFormat="1" applyAlignment="1">
      <alignment horizontal="center"/>
    </xf>
    <xf numFmtId="4" fontId="0" fillId="0" borderId="0" xfId="0" applyNumberFormat="1" applyFont="1"/>
    <xf numFmtId="4" fontId="2" fillId="0" borderId="0" xfId="0" applyNumberFormat="1" applyFont="1" applyBorder="1"/>
    <xf numFmtId="4" fontId="0" fillId="0" borderId="0" xfId="0" applyNumberFormat="1" applyFill="1"/>
    <xf numFmtId="0" fontId="8" fillId="0" borderId="0" xfId="0" applyFont="1"/>
    <xf numFmtId="3" fontId="0" fillId="0" borderId="0" xfId="0" quotePrefix="1" applyNumberFormat="1" applyAlignment="1">
      <alignment horizontal="center"/>
    </xf>
    <xf numFmtId="3" fontId="0" fillId="0" borderId="0" xfId="0" applyNumberFormat="1" applyFill="1" applyAlignment="1">
      <alignment horizontal="center"/>
    </xf>
    <xf numFmtId="3" fontId="2" fillId="0" borderId="0" xfId="0" applyNumberFormat="1" applyFont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0" fontId="0" fillId="0" borderId="0" xfId="0" applyFill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/>
    <xf numFmtId="0" fontId="6" fillId="0" borderId="0" xfId="0" applyFont="1"/>
    <xf numFmtId="0" fontId="18" fillId="0" borderId="0" xfId="0" applyFont="1" applyFill="1" applyAlignment="1">
      <alignment vertical="center"/>
    </xf>
    <xf numFmtId="3" fontId="17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left" vertical="top"/>
    </xf>
    <xf numFmtId="0" fontId="8" fillId="0" borderId="0" xfId="0" applyFont="1" applyAlignment="1">
      <alignment horizontal="left" vertical="top"/>
    </xf>
    <xf numFmtId="0" fontId="0" fillId="0" borderId="0" xfId="0" applyFill="1" applyAlignment="1">
      <alignment horizontal="left" vertical="top"/>
    </xf>
    <xf numFmtId="0" fontId="2" fillId="0" borderId="0" xfId="0" applyFont="1" applyFill="1" applyAlignment="1">
      <alignment horizontal="left" vertical="top"/>
    </xf>
    <xf numFmtId="0" fontId="6" fillId="0" borderId="0" xfId="0" applyFont="1" applyAlignment="1">
      <alignment horizontal="left" vertical="top"/>
    </xf>
    <xf numFmtId="3" fontId="0" fillId="0" borderId="0" xfId="0" applyNumberFormat="1" applyFill="1" applyAlignment="1">
      <alignment horizontal="right"/>
    </xf>
    <xf numFmtId="9" fontId="0" fillId="0" borderId="0" xfId="0" applyNumberFormat="1" applyFill="1" applyAlignment="1">
      <alignment horizontal="left" wrapText="1"/>
    </xf>
    <xf numFmtId="3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/>
    <xf numFmtId="165" fontId="0" fillId="0" borderId="0" xfId="0" applyNumberFormat="1" applyFill="1" applyBorder="1" applyAlignment="1">
      <alignment horizontal="left"/>
    </xf>
    <xf numFmtId="4" fontId="0" fillId="0" borderId="0" xfId="0" applyNumberFormat="1" applyBorder="1"/>
    <xf numFmtId="0" fontId="2" fillId="0" borderId="0" xfId="0" applyFont="1" applyFill="1"/>
    <xf numFmtId="0" fontId="21" fillId="0" borderId="2" xfId="3"/>
    <xf numFmtId="4" fontId="21" fillId="0" borderId="2" xfId="3" applyNumberFormat="1"/>
    <xf numFmtId="3" fontId="21" fillId="0" borderId="2" xfId="3" applyNumberFormat="1" applyAlignment="1">
      <alignment horizontal="center"/>
    </xf>
    <xf numFmtId="0" fontId="13" fillId="4" borderId="0" xfId="4" applyFont="1"/>
    <xf numFmtId="4" fontId="13" fillId="4" borderId="0" xfId="4" applyNumberFormat="1" applyFont="1"/>
    <xf numFmtId="0" fontId="5" fillId="0" borderId="0" xfId="4" applyFont="1" applyFill="1"/>
    <xf numFmtId="4" fontId="5" fillId="0" borderId="0" xfId="4" applyNumberFormat="1" applyFont="1" applyFill="1"/>
    <xf numFmtId="3" fontId="17" fillId="0" borderId="0" xfId="0" applyNumberFormat="1" applyFont="1" applyFill="1" applyBorder="1"/>
    <xf numFmtId="3" fontId="8" fillId="0" borderId="0" xfId="0" applyNumberFormat="1" applyFont="1" applyFill="1" applyBorder="1" applyAlignment="1">
      <alignment horizontal="right"/>
    </xf>
    <xf numFmtId="0" fontId="21" fillId="0" borderId="2" xfId="3" applyFill="1"/>
    <xf numFmtId="4" fontId="21" fillId="0" borderId="2" xfId="3" applyNumberFormat="1" applyFill="1"/>
    <xf numFmtId="0" fontId="1" fillId="6" borderId="0" xfId="9"/>
    <xf numFmtId="4" fontId="1" fillId="6" borderId="0" xfId="9" applyNumberFormat="1"/>
    <xf numFmtId="0" fontId="6" fillId="6" borderId="0" xfId="9" applyFont="1"/>
    <xf numFmtId="4" fontId="6" fillId="6" borderId="0" xfId="9" applyNumberFormat="1" applyFont="1"/>
    <xf numFmtId="0" fontId="22" fillId="4" borderId="0" xfId="4"/>
    <xf numFmtId="4" fontId="22" fillId="4" borderId="0" xfId="4" applyNumberFormat="1"/>
    <xf numFmtId="0" fontId="22" fillId="4" borderId="0" xfId="4" applyFont="1"/>
    <xf numFmtId="4" fontId="22" fillId="4" borderId="0" xfId="4" applyNumberFormat="1" applyFont="1"/>
    <xf numFmtId="4" fontId="24" fillId="0" borderId="0" xfId="7" applyNumberFormat="1" applyFill="1" applyAlignment="1">
      <alignment horizontal="right"/>
    </xf>
    <xf numFmtId="3" fontId="0" fillId="0" borderId="0" xfId="0" applyNumberFormat="1" applyFont="1" applyFill="1" applyBorder="1" applyAlignment="1">
      <alignment vertical="top"/>
    </xf>
    <xf numFmtId="3" fontId="0" fillId="0" borderId="0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3" fontId="8" fillId="0" borderId="0" xfId="0" applyNumberFormat="1" applyFont="1" applyBorder="1" applyAlignment="1">
      <alignment horizontal="right"/>
    </xf>
    <xf numFmtId="0" fontId="24" fillId="0" borderId="0" xfId="7" applyFill="1" applyBorder="1"/>
    <xf numFmtId="0" fontId="25" fillId="0" borderId="2" xfId="3" applyFont="1"/>
    <xf numFmtId="3" fontId="25" fillId="0" borderId="2" xfId="3" applyNumberFormat="1" applyFont="1" applyAlignment="1">
      <alignment horizontal="center"/>
    </xf>
    <xf numFmtId="166" fontId="0" fillId="0" borderId="0" xfId="0" applyNumberFormat="1" applyFont="1" applyFill="1" applyBorder="1" applyAlignment="1">
      <alignment horizontal="right"/>
    </xf>
    <xf numFmtId="166" fontId="2" fillId="0" borderId="0" xfId="0" applyNumberFormat="1" applyFont="1" applyFill="1" applyBorder="1" applyAlignment="1">
      <alignment horizontal="right"/>
    </xf>
    <xf numFmtId="166" fontId="8" fillId="0" borderId="0" xfId="0" applyNumberFormat="1" applyFont="1" applyFill="1" applyBorder="1" applyAlignment="1">
      <alignment horizontal="right"/>
    </xf>
    <xf numFmtId="3" fontId="0" fillId="0" borderId="0" xfId="0" applyNumberFormat="1" applyFont="1" applyBorder="1" applyAlignment="1">
      <alignment horizontal="right"/>
    </xf>
    <xf numFmtId="3" fontId="6" fillId="0" borderId="0" xfId="0" applyNumberFormat="1" applyFont="1" applyBorder="1" applyAlignment="1">
      <alignment horizontal="right"/>
    </xf>
    <xf numFmtId="3" fontId="20" fillId="0" borderId="0" xfId="0" applyNumberFormat="1" applyFont="1" applyFill="1" applyBorder="1" applyAlignment="1">
      <alignment horizontal="center"/>
    </xf>
    <xf numFmtId="3" fontId="23" fillId="6" borderId="0" xfId="5" applyNumberFormat="1" applyFill="1" applyBorder="1" applyAlignment="1">
      <alignment wrapText="1"/>
    </xf>
    <xf numFmtId="3" fontId="23" fillId="6" borderId="0" xfId="5" applyNumberFormat="1" applyFill="1" applyBorder="1" applyAlignment="1">
      <alignment horizontal="center" wrapText="1"/>
    </xf>
    <xf numFmtId="3" fontId="23" fillId="6" borderId="0" xfId="5" applyNumberFormat="1" applyFill="1" applyBorder="1" applyAlignment="1">
      <alignment horizontal="right" wrapText="1"/>
    </xf>
    <xf numFmtId="4" fontId="0" fillId="0" borderId="0" xfId="0" applyNumberFormat="1" applyFont="1" applyFill="1" applyBorder="1"/>
    <xf numFmtId="3" fontId="12" fillId="0" borderId="0" xfId="0" applyNumberFormat="1" applyFont="1" applyFill="1" applyBorder="1" applyAlignment="1">
      <alignment horizontal="center" wrapText="1"/>
    </xf>
    <xf numFmtId="4" fontId="0" fillId="0" borderId="0" xfId="0" applyNumberFormat="1" applyFont="1" applyBorder="1" applyAlignment="1">
      <alignment vertical="top"/>
    </xf>
    <xf numFmtId="3" fontId="0" fillId="0" borderId="0" xfId="0" applyNumberFormat="1" applyFont="1" applyBorder="1" applyAlignment="1">
      <alignment vertical="top"/>
    </xf>
    <xf numFmtId="3" fontId="0" fillId="0" borderId="0" xfId="0" applyNumberFormat="1" applyFill="1" applyBorder="1" applyAlignment="1">
      <alignment vertical="top"/>
    </xf>
    <xf numFmtId="3" fontId="0" fillId="0" borderId="0" xfId="0" applyNumberFormat="1" applyBorder="1"/>
    <xf numFmtId="3" fontId="0" fillId="0" borderId="0" xfId="0" applyNumberFormat="1" applyFill="1" applyBorder="1" applyAlignment="1">
      <alignment vertical="center"/>
    </xf>
    <xf numFmtId="3" fontId="0" fillId="0" borderId="0" xfId="0" applyNumberFormat="1" applyFill="1" applyBorder="1" applyAlignment="1">
      <alignment horizontal="center" vertical="center"/>
    </xf>
    <xf numFmtId="3" fontId="0" fillId="0" borderId="0" xfId="0" applyNumberFormat="1" applyFont="1" applyBorder="1" applyAlignment="1">
      <alignment horizontal="center"/>
    </xf>
    <xf numFmtId="0" fontId="25" fillId="6" borderId="0" xfId="5" applyFont="1" applyFill="1" applyBorder="1" applyAlignment="1">
      <alignment horizontal="center" vertical="top" wrapText="1"/>
    </xf>
    <xf numFmtId="0" fontId="0" fillId="0" borderId="0" xfId="0" applyFill="1" applyBorder="1"/>
    <xf numFmtId="4" fontId="0" fillId="0" borderId="0" xfId="0" applyNumberFormat="1" applyFill="1" applyBorder="1"/>
    <xf numFmtId="165" fontId="0" fillId="0" borderId="0" xfId="0" applyNumberFormat="1" applyBorder="1" applyAlignment="1">
      <alignment horizontal="left"/>
    </xf>
    <xf numFmtId="4" fontId="0" fillId="0" borderId="0" xfId="0" applyNumberFormat="1" applyBorder="1" applyAlignment="1">
      <alignment horizontal="center"/>
    </xf>
    <xf numFmtId="4" fontId="24" fillId="0" borderId="0" xfId="7" applyNumberFormat="1" applyBorder="1"/>
    <xf numFmtId="4" fontId="0" fillId="0" borderId="0" xfId="0" applyNumberFormat="1" applyFont="1" applyBorder="1"/>
    <xf numFmtId="3" fontId="0" fillId="0" borderId="0" xfId="0" applyNumberFormat="1" applyAlignment="1">
      <alignment wrapText="1"/>
    </xf>
    <xf numFmtId="4" fontId="2" fillId="0" borderId="0" xfId="0" applyNumberFormat="1" applyFont="1" applyAlignment="1">
      <alignment vertical="top"/>
    </xf>
    <xf numFmtId="4" fontId="0" fillId="0" borderId="0" xfId="0" applyNumberFormat="1" applyAlignment="1">
      <alignment vertical="top"/>
    </xf>
    <xf numFmtId="0" fontId="2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4" fontId="0" fillId="0" borderId="0" xfId="0" applyNumberFormat="1" applyAlignment="1">
      <alignment vertical="top" wrapText="1"/>
    </xf>
    <xf numFmtId="3" fontId="2" fillId="0" borderId="0" xfId="0" applyNumberFormat="1" applyFont="1" applyAlignment="1">
      <alignment horizontal="center" vertical="top"/>
    </xf>
    <xf numFmtId="3" fontId="0" fillId="0" borderId="0" xfId="0" applyNumberFormat="1" applyAlignment="1">
      <alignment horizontal="center" vertical="top"/>
    </xf>
    <xf numFmtId="0" fontId="24" fillId="6" borderId="0" xfId="7" applyFill="1" applyBorder="1" applyAlignment="1">
      <alignment horizontal="right"/>
    </xf>
    <xf numFmtId="4" fontId="24" fillId="6" borderId="0" xfId="7" applyNumberFormat="1" applyFill="1" applyBorder="1" applyAlignment="1">
      <alignment horizontal="left"/>
    </xf>
    <xf numFmtId="3" fontId="24" fillId="6" borderId="0" xfId="7" applyNumberFormat="1" applyFill="1" applyBorder="1" applyAlignment="1">
      <alignment horizontal="left"/>
    </xf>
    <xf numFmtId="0" fontId="0" fillId="0" borderId="0" xfId="0" applyFont="1" applyBorder="1"/>
    <xf numFmtId="0" fontId="0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wrapText="1"/>
    </xf>
    <xf numFmtId="0" fontId="0" fillId="0" borderId="0" xfId="0" applyFont="1" applyBorder="1" applyAlignment="1">
      <alignment wrapText="1"/>
    </xf>
    <xf numFmtId="0" fontId="10" fillId="0" borderId="0" xfId="0" applyFont="1" applyBorder="1"/>
    <xf numFmtId="0" fontId="11" fillId="0" borderId="0" xfId="0" applyFont="1" applyBorder="1"/>
    <xf numFmtId="0" fontId="19" fillId="0" borderId="0" xfId="0" applyFont="1" applyFill="1" applyBorder="1"/>
    <xf numFmtId="0" fontId="23" fillId="6" borderId="0" xfId="5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left" vertical="top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vertical="top" wrapText="1"/>
    </xf>
    <xf numFmtId="0" fontId="9" fillId="0" borderId="0" xfId="0" applyFont="1" applyBorder="1"/>
    <xf numFmtId="2" fontId="0" fillId="0" borderId="0" xfId="0" applyNumberFormat="1" applyBorder="1" applyAlignment="1">
      <alignment wrapText="1"/>
    </xf>
    <xf numFmtId="0" fontId="0" fillId="0" borderId="0" xfId="0" applyBorder="1" applyAlignment="1">
      <alignment wrapText="1"/>
    </xf>
    <xf numFmtId="0" fontId="24" fillId="0" borderId="0" xfId="7" applyBorder="1"/>
    <xf numFmtId="9" fontId="2" fillId="0" borderId="0" xfId="0" applyNumberFormat="1" applyFont="1" applyBorder="1"/>
    <xf numFmtId="9" fontId="0" fillId="0" borderId="0" xfId="0" applyNumberFormat="1" applyBorder="1"/>
    <xf numFmtId="9" fontId="2" fillId="0" borderId="0" xfId="0" applyNumberFormat="1" applyFont="1" applyFill="1" applyBorder="1"/>
    <xf numFmtId="4" fontId="2" fillId="0" borderId="0" xfId="0" applyNumberFormat="1" applyFont="1" applyFill="1" applyBorder="1"/>
    <xf numFmtId="9" fontId="0" fillId="0" borderId="0" xfId="0" applyNumberFormat="1" applyFont="1" applyBorder="1"/>
    <xf numFmtId="0" fontId="25" fillId="6" borderId="0" xfId="5" applyFont="1" applyFill="1" applyBorder="1" applyAlignment="1">
      <alignment horizontal="left" vertical="top" wrapText="1"/>
    </xf>
    <xf numFmtId="0" fontId="22" fillId="4" borderId="0" xfId="4" applyBorder="1"/>
    <xf numFmtId="4" fontId="22" fillId="4" borderId="0" xfId="4" applyNumberFormat="1" applyBorder="1"/>
    <xf numFmtId="3" fontId="22" fillId="4" borderId="0" xfId="4" applyNumberFormat="1" applyBorder="1" applyAlignment="1">
      <alignment horizontal="center"/>
    </xf>
    <xf numFmtId="0" fontId="25" fillId="0" borderId="0" xfId="5" applyFont="1"/>
    <xf numFmtId="0" fontId="2" fillId="0" borderId="0" xfId="0" applyFont="1" applyAlignment="1">
      <alignment horizontal="center" vertical="top"/>
    </xf>
    <xf numFmtId="0" fontId="2" fillId="0" borderId="0" xfId="0" applyNumberFormat="1" applyFont="1" applyAlignment="1">
      <alignment vertical="top"/>
    </xf>
    <xf numFmtId="0" fontId="0" fillId="0" borderId="0" xfId="0" applyNumberFormat="1" applyAlignment="1">
      <alignment vertical="top"/>
    </xf>
    <xf numFmtId="0" fontId="25" fillId="0" borderId="0" xfId="5" applyFont="1" applyAlignment="1">
      <alignment horizontal="center"/>
    </xf>
    <xf numFmtId="3" fontId="12" fillId="0" borderId="0" xfId="0" applyNumberFormat="1" applyFont="1" applyAlignment="1">
      <alignment horizontal="left" vertical="top" wrapText="1"/>
    </xf>
    <xf numFmtId="3" fontId="26" fillId="0" borderId="0" xfId="0" applyNumberFormat="1" applyFont="1" applyAlignment="1">
      <alignment horizontal="left" vertical="top" wrapText="1"/>
    </xf>
    <xf numFmtId="4" fontId="23" fillId="6" borderId="0" xfId="5" applyNumberFormat="1" applyFill="1" applyBorder="1" applyAlignment="1">
      <alignment horizontal="right" vertical="top"/>
    </xf>
    <xf numFmtId="3" fontId="23" fillId="6" borderId="0" xfId="5" applyNumberFormat="1" applyFill="1" applyBorder="1" applyAlignment="1">
      <alignment horizontal="right" vertical="top" wrapText="1"/>
    </xf>
    <xf numFmtId="0" fontId="23" fillId="6" borderId="0" xfId="5" applyFill="1" applyBorder="1" applyAlignment="1">
      <alignment horizontal="right" vertical="top"/>
    </xf>
    <xf numFmtId="0" fontId="25" fillId="0" borderId="0" xfId="5" applyFont="1" applyAlignment="1">
      <alignment horizontal="right"/>
    </xf>
    <xf numFmtId="2" fontId="0" fillId="0" borderId="0" xfId="0" applyNumberFormat="1" applyAlignment="1">
      <alignment horizontal="center" vertical="top"/>
    </xf>
    <xf numFmtId="0" fontId="1" fillId="6" borderId="0" xfId="9" applyAlignment="1">
      <alignment horizontal="center"/>
    </xf>
    <xf numFmtId="2" fontId="0" fillId="0" borderId="0" xfId="0" applyNumberFormat="1" applyAlignment="1">
      <alignment horizontal="center"/>
    </xf>
    <xf numFmtId="0" fontId="6" fillId="0" borderId="0" xfId="0" applyFont="1" applyAlignment="1">
      <alignment vertical="top" wrapText="1"/>
    </xf>
    <xf numFmtId="4" fontId="6" fillId="0" borderId="0" xfId="0" applyNumberFormat="1" applyFont="1" applyAlignment="1">
      <alignment vertical="top"/>
    </xf>
    <xf numFmtId="0" fontId="2" fillId="6" borderId="0" xfId="9" applyFont="1"/>
    <xf numFmtId="4" fontId="2" fillId="6" borderId="0" xfId="9" applyNumberFormat="1" applyFont="1"/>
    <xf numFmtId="3" fontId="22" fillId="4" borderId="0" xfId="4" applyNumberFormat="1" applyAlignment="1">
      <alignment horizontal="center"/>
    </xf>
    <xf numFmtId="0" fontId="22" fillId="0" borderId="0" xfId="4" applyFill="1"/>
    <xf numFmtId="4" fontId="22" fillId="0" borderId="0" xfId="4" applyNumberFormat="1" applyFill="1"/>
    <xf numFmtId="3" fontId="22" fillId="0" borderId="0" xfId="4" applyNumberFormat="1" applyFill="1" applyAlignment="1">
      <alignment horizontal="center"/>
    </xf>
    <xf numFmtId="0" fontId="23" fillId="6" borderId="4" xfId="5" applyFill="1" applyBorder="1" applyAlignment="1">
      <alignment horizontal="left" vertical="top" wrapText="1"/>
    </xf>
    <xf numFmtId="4" fontId="23" fillId="6" borderId="4" xfId="5" applyNumberFormat="1" applyFill="1" applyBorder="1" applyAlignment="1"/>
    <xf numFmtId="0" fontId="0" fillId="0" borderId="0" xfId="0" applyBorder="1" applyAlignment="1">
      <alignment horizontal="center" vertical="top"/>
    </xf>
    <xf numFmtId="3" fontId="24" fillId="5" borderId="0" xfId="7" applyNumberFormat="1" applyFill="1" applyBorder="1" applyAlignment="1">
      <alignment horizontal="center"/>
    </xf>
    <xf numFmtId="49" fontId="24" fillId="5" borderId="0" xfId="7" applyNumberFormat="1" applyFill="1" applyBorder="1" applyAlignment="1">
      <alignment horizontal="center"/>
    </xf>
    <xf numFmtId="1" fontId="24" fillId="5" borderId="0" xfId="7" applyNumberFormat="1" applyFill="1" applyBorder="1" applyAlignment="1">
      <alignment horizontal="center"/>
    </xf>
    <xf numFmtId="1" fontId="24" fillId="5" borderId="0" xfId="7" quotePrefix="1" applyNumberFormat="1" applyFill="1" applyBorder="1" applyAlignment="1">
      <alignment horizontal="center"/>
    </xf>
    <xf numFmtId="0" fontId="27" fillId="5" borderId="0" xfId="7" applyFont="1" applyFill="1" applyBorder="1" applyAlignment="1">
      <alignment horizontal="center"/>
    </xf>
    <xf numFmtId="0" fontId="24" fillId="5" borderId="0" xfId="7" applyFill="1" applyBorder="1" applyAlignment="1">
      <alignment horizontal="center" vertical="top"/>
    </xf>
    <xf numFmtId="0" fontId="24" fillId="5" borderId="0" xfId="7" applyFill="1" applyBorder="1" applyAlignment="1">
      <alignment horizontal="center" vertical="center"/>
    </xf>
    <xf numFmtId="3" fontId="0" fillId="0" borderId="0" xfId="6" applyNumberFormat="1" applyFont="1" applyFill="1" applyBorder="1" applyAlignment="1">
      <alignment horizontal="center"/>
    </xf>
    <xf numFmtId="0" fontId="24" fillId="5" borderId="0" xfId="7" applyFill="1" applyBorder="1" applyAlignment="1">
      <alignment horizontal="center" vertical="top" wrapText="1"/>
    </xf>
    <xf numFmtId="0" fontId="24" fillId="5" borderId="0" xfId="7" applyFill="1" applyBorder="1" applyAlignment="1">
      <alignment horizontal="center" vertical="center" wrapText="1"/>
    </xf>
    <xf numFmtId="4" fontId="23" fillId="6" borderId="4" xfId="5" applyNumberFormat="1" applyFill="1" applyBorder="1"/>
    <xf numFmtId="3" fontId="23" fillId="6" borderId="4" xfId="5" applyNumberFormat="1" applyFill="1" applyBorder="1" applyAlignment="1"/>
    <xf numFmtId="0" fontId="2" fillId="6" borderId="4" xfId="8" applyFill="1"/>
    <xf numFmtId="3" fontId="2" fillId="6" borderId="4" xfId="8" applyNumberFormat="1" applyFill="1" applyAlignment="1">
      <alignment horizontal="right"/>
    </xf>
    <xf numFmtId="0" fontId="23" fillId="6" borderId="4" xfId="5" applyFill="1" applyBorder="1"/>
    <xf numFmtId="0" fontId="23" fillId="6" borderId="0" xfId="5" applyFill="1"/>
    <xf numFmtId="4" fontId="23" fillId="6" borderId="0" xfId="5" applyNumberFormat="1" applyFill="1"/>
    <xf numFmtId="0" fontId="7" fillId="0" borderId="0" xfId="2" applyBorder="1"/>
    <xf numFmtId="3" fontId="0" fillId="0" borderId="0" xfId="0" applyNumberFormat="1" applyFont="1"/>
    <xf numFmtId="4" fontId="16" fillId="0" borderId="0" xfId="0" applyNumberFormat="1" applyFont="1"/>
    <xf numFmtId="3" fontId="0" fillId="0" borderId="0" xfId="0" applyNumberFormat="1"/>
    <xf numFmtId="4" fontId="0" fillId="0" borderId="0" xfId="0" applyNumberFormat="1" applyFont="1" applyFill="1" applyBorder="1" applyAlignment="1">
      <alignment vertical="top"/>
    </xf>
    <xf numFmtId="4" fontId="2" fillId="0" borderId="0" xfId="0" applyNumberFormat="1" applyFont="1" applyBorder="1" applyAlignment="1">
      <alignment horizontal="center"/>
    </xf>
    <xf numFmtId="4" fontId="23" fillId="6" borderId="0" xfId="5" applyNumberFormat="1" applyFill="1" applyBorder="1" applyAlignment="1">
      <alignment horizontal="right" wrapText="1"/>
    </xf>
    <xf numFmtId="4" fontId="0" fillId="0" borderId="0" xfId="0" applyNumberFormat="1" applyFill="1" applyBorder="1" applyAlignment="1">
      <alignment vertical="center"/>
    </xf>
    <xf numFmtId="4" fontId="0" fillId="0" borderId="0" xfId="0" applyNumberFormat="1" applyFill="1" applyBorder="1" applyAlignment="1">
      <alignment horizontal="center" vertical="center"/>
    </xf>
    <xf numFmtId="4" fontId="0" fillId="0" borderId="0" xfId="0" applyNumberFormat="1" applyFont="1" applyBorder="1" applyAlignment="1">
      <alignment horizontal="center"/>
    </xf>
    <xf numFmtId="4" fontId="25" fillId="6" borderId="0" xfId="5" applyNumberFormat="1" applyFont="1" applyFill="1" applyBorder="1" applyAlignment="1">
      <alignment horizontal="center" vertical="top" wrapText="1"/>
    </xf>
    <xf numFmtId="4" fontId="0" fillId="0" borderId="0" xfId="0" applyNumberFormat="1" applyFill="1" applyBorder="1" applyAlignment="1">
      <alignment horizontal="left"/>
    </xf>
    <xf numFmtId="4" fontId="7" fillId="0" borderId="0" xfId="2" applyNumberFormat="1" applyFill="1" applyBorder="1" applyAlignment="1">
      <alignment horizontal="left"/>
    </xf>
    <xf numFmtId="4" fontId="0" fillId="0" borderId="0" xfId="0" applyNumberFormat="1" applyBorder="1" applyAlignment="1">
      <alignment horizontal="left"/>
    </xf>
    <xf numFmtId="4" fontId="23" fillId="6" borderId="0" xfId="5" applyNumberFormat="1" applyFill="1" applyBorder="1" applyAlignment="1">
      <alignment horizontal="center" vertical="top" wrapText="1"/>
    </xf>
    <xf numFmtId="3" fontId="0" fillId="0" borderId="0" xfId="0" applyNumberFormat="1" applyBorder="1" applyAlignment="1">
      <alignment horizontal="right"/>
    </xf>
    <xf numFmtId="0" fontId="23" fillId="0" borderId="2" xfId="3" applyNumberFormat="1" applyFont="1" applyFill="1" applyAlignment="1">
      <alignment horizontal="center" vertical="top"/>
    </xf>
    <xf numFmtId="0" fontId="22" fillId="4" borderId="0" xfId="4" applyNumberFormat="1" applyAlignment="1">
      <alignment horizontal="center" vertical="top"/>
    </xf>
    <xf numFmtId="0" fontId="0" fillId="0" borderId="0" xfId="0" applyNumberFormat="1" applyAlignment="1">
      <alignment horizontal="center" vertical="top"/>
    </xf>
    <xf numFmtId="0" fontId="22" fillId="4" borderId="0" xfId="4" applyNumberFormat="1" applyFont="1" applyAlignment="1">
      <alignment horizontal="center" vertical="top"/>
    </xf>
    <xf numFmtId="0" fontId="0" fillId="0" borderId="0" xfId="0" applyNumberFormat="1" applyFill="1" applyAlignment="1">
      <alignment horizontal="center" vertical="top"/>
    </xf>
    <xf numFmtId="0" fontId="13" fillId="4" borderId="0" xfId="4" applyNumberFormat="1" applyFont="1" applyAlignment="1">
      <alignment horizontal="center" vertical="top"/>
    </xf>
    <xf numFmtId="0" fontId="24" fillId="0" borderId="0" xfId="7" applyNumberFormat="1" applyFill="1" applyBorder="1" applyAlignment="1">
      <alignment vertical="top"/>
    </xf>
    <xf numFmtId="0" fontId="0" fillId="0" borderId="0" xfId="0" applyNumberFormat="1" applyFill="1" applyAlignment="1">
      <alignment vertical="top"/>
    </xf>
    <xf numFmtId="0" fontId="0" fillId="0" borderId="0" xfId="0" applyNumberFormat="1" applyAlignment="1">
      <alignment horizontal="left" vertical="top" wrapText="1"/>
    </xf>
    <xf numFmtId="0" fontId="0" fillId="0" borderId="0" xfId="0" applyNumberFormat="1" applyAlignment="1">
      <alignment horizontal="center" vertical="top" wrapText="1"/>
    </xf>
    <xf numFmtId="0" fontId="0" fillId="0" borderId="0" xfId="0" applyNumberFormat="1" applyFont="1" applyAlignment="1">
      <alignment horizontal="center" vertical="top" wrapText="1"/>
    </xf>
    <xf numFmtId="0" fontId="0" fillId="0" borderId="0" xfId="0" applyNumberFormat="1" applyFont="1" applyAlignment="1">
      <alignment horizontal="left" vertical="top" wrapText="1"/>
    </xf>
    <xf numFmtId="0" fontId="8" fillId="0" borderId="0" xfId="0" applyNumberFormat="1" applyFont="1" applyAlignment="1">
      <alignment horizontal="left" vertical="top" wrapText="1"/>
    </xf>
    <xf numFmtId="0" fontId="6" fillId="0" borderId="0" xfId="0" applyNumberFormat="1" applyFont="1" applyAlignment="1">
      <alignment horizontal="left" vertical="top" wrapText="1"/>
    </xf>
    <xf numFmtId="0" fontId="16" fillId="0" borderId="0" xfId="0" applyNumberFormat="1" applyFont="1" applyAlignment="1">
      <alignment horizontal="left" vertical="top" wrapText="1"/>
    </xf>
    <xf numFmtId="0" fontId="5" fillId="0" borderId="0" xfId="0" applyNumberFormat="1" applyFont="1" applyFill="1" applyAlignment="1">
      <alignment vertical="top"/>
    </xf>
    <xf numFmtId="0" fontId="0" fillId="3" borderId="0" xfId="0" applyNumberFormat="1" applyFill="1" applyAlignment="1">
      <alignment vertical="top"/>
    </xf>
    <xf numFmtId="4" fontId="0" fillId="0" borderId="0" xfId="0" applyNumberFormat="1" applyFill="1" applyAlignment="1">
      <alignment vertic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Fill="1" applyAlignment="1">
      <alignment horizontal="left"/>
    </xf>
    <xf numFmtId="0" fontId="1" fillId="6" borderId="0" xfId="9" applyAlignment="1">
      <alignment horizontal="left"/>
    </xf>
    <xf numFmtId="0" fontId="29" fillId="0" borderId="2" xfId="3" applyFont="1"/>
    <xf numFmtId="0" fontId="28" fillId="5" borderId="0" xfId="5" applyFont="1" applyFill="1" applyBorder="1" applyAlignment="1">
      <alignment horizontal="center" vertical="top" wrapText="1"/>
    </xf>
    <xf numFmtId="0" fontId="28" fillId="0" borderId="0" xfId="5" applyNumberFormat="1" applyFont="1" applyAlignment="1">
      <alignment vertical="top" wrapText="1"/>
    </xf>
    <xf numFmtId="0" fontId="28" fillId="0" borderId="0" xfId="5" applyFont="1" applyAlignment="1">
      <alignment wrapText="1"/>
    </xf>
    <xf numFmtId="9" fontId="28" fillId="0" borderId="2" xfId="5" applyNumberFormat="1" applyFont="1" applyBorder="1" applyAlignment="1">
      <alignment horizontal="center" vertical="center" wrapText="1"/>
    </xf>
    <xf numFmtId="0" fontId="28" fillId="0" borderId="2" xfId="5" applyFont="1" applyBorder="1" applyAlignment="1">
      <alignment horizontal="center" vertical="center" wrapText="1"/>
    </xf>
    <xf numFmtId="3" fontId="0" fillId="0" borderId="0" xfId="0" applyNumberFormat="1" applyAlignment="1">
      <alignment horizontal="right"/>
    </xf>
    <xf numFmtId="0" fontId="0" fillId="0" borderId="0" xfId="0" applyNumberFormat="1" applyAlignment="1">
      <alignment vertical="top" wrapText="1"/>
    </xf>
    <xf numFmtId="3" fontId="21" fillId="0" borderId="2" xfId="3" applyNumberFormat="1" applyFill="1" applyAlignment="1">
      <alignment horizontal="right"/>
    </xf>
    <xf numFmtId="3" fontId="21" fillId="0" borderId="2" xfId="3" applyNumberFormat="1" applyAlignment="1">
      <alignment horizontal="right"/>
    </xf>
    <xf numFmtId="0" fontId="22" fillId="4" borderId="0" xfId="4" applyBorder="1" applyAlignment="1">
      <alignment wrapText="1"/>
    </xf>
    <xf numFmtId="3" fontId="22" fillId="4" borderId="0" xfId="4" applyNumberFormat="1" applyBorder="1" applyAlignment="1"/>
    <xf numFmtId="4" fontId="22" fillId="4" borderId="0" xfId="4" applyNumberFormat="1" applyBorder="1" applyAlignment="1">
      <alignment wrapText="1"/>
    </xf>
    <xf numFmtId="0" fontId="21" fillId="3" borderId="2" xfId="3" applyFill="1" applyAlignment="1">
      <alignment horizontal="left" vertical="top" wrapText="1"/>
    </xf>
    <xf numFmtId="3" fontId="21" fillId="3" borderId="2" xfId="3" applyNumberFormat="1" applyFill="1" applyAlignment="1"/>
    <xf numFmtId="0" fontId="28" fillId="0" borderId="2" xfId="5" applyFont="1" applyBorder="1" applyAlignment="1">
      <alignment horizontal="center" wrapText="1"/>
    </xf>
    <xf numFmtId="3" fontId="23" fillId="6" borderId="6" xfId="10" applyNumberFormat="1" applyFill="1" applyAlignment="1">
      <alignment wrapText="1"/>
    </xf>
    <xf numFmtId="3" fontId="23" fillId="6" borderId="6" xfId="10" applyNumberFormat="1" applyFill="1" applyAlignment="1">
      <alignment horizontal="right"/>
    </xf>
    <xf numFmtId="0" fontId="23" fillId="6" borderId="6" xfId="10" applyFill="1"/>
    <xf numFmtId="4" fontId="23" fillId="6" borderId="6" xfId="10" applyNumberFormat="1" applyFill="1"/>
    <xf numFmtId="3" fontId="23" fillId="6" borderId="6" xfId="10" applyNumberFormat="1" applyFill="1" applyAlignment="1"/>
    <xf numFmtId="4" fontId="0" fillId="0" borderId="0" xfId="0" applyNumberFormat="1" applyFont="1" applyFill="1" applyBorder="1" applyAlignment="1">
      <alignment horizontal="right"/>
    </xf>
    <xf numFmtId="4" fontId="2" fillId="0" borderId="0" xfId="0" applyNumberFormat="1" applyFont="1" applyFill="1" applyBorder="1" applyAlignment="1">
      <alignment horizontal="right"/>
    </xf>
    <xf numFmtId="4" fontId="8" fillId="0" borderId="0" xfId="0" applyNumberFormat="1" applyFont="1" applyFill="1" applyBorder="1" applyAlignment="1">
      <alignment horizontal="right"/>
    </xf>
    <xf numFmtId="4" fontId="0" fillId="0" borderId="0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  <xf numFmtId="4" fontId="8" fillId="0" borderId="0" xfId="0" applyNumberFormat="1" applyFont="1" applyBorder="1" applyAlignment="1">
      <alignment horizontal="right"/>
    </xf>
    <xf numFmtId="4" fontId="2" fillId="6" borderId="4" xfId="8" applyNumberFormat="1" applyFill="1" applyAlignment="1">
      <alignment horizontal="right"/>
    </xf>
    <xf numFmtId="0" fontId="23" fillId="6" borderId="6" xfId="10" applyFill="1" applyAlignment="1">
      <alignment horizontal="left" wrapText="1"/>
    </xf>
    <xf numFmtId="3" fontId="12" fillId="0" borderId="0" xfId="0" applyNumberFormat="1" applyFont="1" applyAlignment="1">
      <alignment horizontal="left" vertical="top" wrapText="1"/>
    </xf>
    <xf numFmtId="4" fontId="0" fillId="0" borderId="0" xfId="0" applyNumberFormat="1" applyFont="1" applyBorder="1" applyAlignment="1">
      <alignment horizontal="center" vertical="center" wrapText="1"/>
    </xf>
    <xf numFmtId="0" fontId="25" fillId="0" borderId="5" xfId="5" applyFont="1" applyBorder="1" applyAlignment="1">
      <alignment horizontal="center"/>
    </xf>
    <xf numFmtId="0" fontId="23" fillId="0" borderId="6" xfId="10" applyFill="1" applyAlignment="1">
      <alignment horizontal="left" wrapText="1"/>
    </xf>
    <xf numFmtId="3" fontId="23" fillId="0" borderId="6" xfId="10" applyNumberFormat="1" applyFill="1" applyAlignment="1">
      <alignment wrapText="1"/>
    </xf>
    <xf numFmtId="3" fontId="23" fillId="0" borderId="6" xfId="10" applyNumberFormat="1" applyFill="1" applyAlignment="1">
      <alignment horizontal="right"/>
    </xf>
    <xf numFmtId="3" fontId="12" fillId="0" borderId="0" xfId="0" applyNumberFormat="1" applyFont="1" applyAlignment="1">
      <alignment horizontal="center" vertical="top" wrapText="1"/>
    </xf>
  </cellXfs>
  <cellStyles count="11">
    <cellStyle name="20 % - Farve1" xfId="9" builtinId="30"/>
    <cellStyle name="Bemærk!" xfId="6" builtinId="10"/>
    <cellStyle name="Farve1" xfId="4" builtinId="29"/>
    <cellStyle name="Forklarende tekst" xfId="7" builtinId="53"/>
    <cellStyle name="Link" xfId="2" builtinId="8"/>
    <cellStyle name="Normal" xfId="0" builtinId="0"/>
    <cellStyle name="Overskrift 1" xfId="3" builtinId="16"/>
    <cellStyle name="Overskrift 3" xfId="10" builtinId="18"/>
    <cellStyle name="Overskrift 4" xfId="5" builtinId="19"/>
    <cellStyle name="Total" xfId="8" builtinId="25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regionalt.erhvervsstyrelsen.dk/sites/default/files/vejledning_kontoplan_esf_18.pdf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185"/>
  <sheetViews>
    <sheetView tabSelected="1" topLeftCell="A117" zoomScale="80" zoomScaleNormal="80" workbookViewId="0">
      <selection activeCell="K131" sqref="K131"/>
    </sheetView>
  </sheetViews>
  <sheetFormatPr defaultRowHeight="15" x14ac:dyDescent="0.25"/>
  <cols>
    <col min="1" max="1" width="18.7109375" style="165" customWidth="1"/>
    <col min="2" max="2" width="11.5703125" style="144" customWidth="1"/>
    <col min="3" max="3" width="73.28515625" customWidth="1"/>
    <col min="4" max="4" width="22.42578125" style="3" customWidth="1"/>
    <col min="5" max="5" width="19.42578125" style="23" customWidth="1"/>
    <col min="6" max="6" width="21.28515625" style="23" customWidth="1"/>
    <col min="7" max="7" width="17.28515625" customWidth="1"/>
    <col min="8" max="8" width="18" customWidth="1"/>
    <col min="9" max="9" width="16.7109375" customWidth="1"/>
    <col min="10" max="10" width="16.42578125" customWidth="1"/>
    <col min="11" max="11" width="15.28515625" customWidth="1"/>
    <col min="12" max="12" width="16.5703125" customWidth="1"/>
    <col min="13" max="13" width="18.140625" customWidth="1"/>
    <col min="16" max="16" width="18" customWidth="1"/>
    <col min="17" max="17" width="13.42578125" customWidth="1"/>
  </cols>
  <sheetData>
    <row r="1" spans="1:9" x14ac:dyDescent="0.25">
      <c r="C1" s="19" t="s">
        <v>25</v>
      </c>
      <c r="G1" s="1"/>
      <c r="H1" s="1"/>
    </row>
    <row r="2" spans="1:9" x14ac:dyDescent="0.25">
      <c r="G2" s="1"/>
      <c r="H2" s="1"/>
    </row>
    <row r="3" spans="1:9" ht="20.25" thickBot="1" x14ac:dyDescent="0.35">
      <c r="A3" s="166" t="s">
        <v>51</v>
      </c>
      <c r="B3" s="199" t="s">
        <v>0</v>
      </c>
      <c r="C3" s="60" t="s">
        <v>15</v>
      </c>
      <c r="D3" s="61" t="s">
        <v>16</v>
      </c>
    </row>
    <row r="4" spans="1:9" ht="15.75" thickTop="1" x14ac:dyDescent="0.25">
      <c r="A4" s="166"/>
      <c r="B4" s="200"/>
      <c r="C4" s="66" t="s">
        <v>26</v>
      </c>
      <c r="D4" s="67"/>
      <c r="I4" s="3"/>
    </row>
    <row r="5" spans="1:9" x14ac:dyDescent="0.25">
      <c r="A5" s="167" t="s">
        <v>76</v>
      </c>
      <c r="B5" s="201">
        <v>20</v>
      </c>
      <c r="C5" t="s">
        <v>27</v>
      </c>
      <c r="D5" s="3">
        <f>D47+D53</f>
        <v>9685047.3133333325</v>
      </c>
    </row>
    <row r="6" spans="1:9" x14ac:dyDescent="0.25">
      <c r="A6" s="168">
        <f>A78</f>
        <v>10</v>
      </c>
      <c r="B6" s="201">
        <v>40</v>
      </c>
      <c r="C6" t="s">
        <v>17</v>
      </c>
      <c r="D6" s="3">
        <f>D78</f>
        <v>72155.726999999999</v>
      </c>
    </row>
    <row r="7" spans="1:9" ht="18" customHeight="1" x14ac:dyDescent="0.25">
      <c r="A7" s="168">
        <f>A81</f>
        <v>11</v>
      </c>
      <c r="B7" s="201">
        <v>50</v>
      </c>
      <c r="C7" t="s">
        <v>39</v>
      </c>
      <c r="D7" s="3">
        <f>D91</f>
        <v>226498.66050000003</v>
      </c>
    </row>
    <row r="8" spans="1:9" x14ac:dyDescent="0.25">
      <c r="A8" s="168"/>
      <c r="B8" s="201">
        <v>60</v>
      </c>
      <c r="C8" t="s">
        <v>28</v>
      </c>
      <c r="D8" s="3">
        <f>0</f>
        <v>0</v>
      </c>
    </row>
    <row r="9" spans="1:9" x14ac:dyDescent="0.25">
      <c r="A9" s="169">
        <f>A93</f>
        <v>12</v>
      </c>
      <c r="B9" s="201">
        <v>70</v>
      </c>
      <c r="C9" t="s">
        <v>44</v>
      </c>
      <c r="D9" s="3">
        <f>(D5+D6+D7+D8)*18%</f>
        <v>1797066.3061499996</v>
      </c>
      <c r="F9" s="28"/>
    </row>
    <row r="10" spans="1:9" x14ac:dyDescent="0.25">
      <c r="A10" s="168"/>
      <c r="B10" s="201">
        <v>79</v>
      </c>
      <c r="C10" t="s">
        <v>11</v>
      </c>
      <c r="D10" s="18">
        <f>SUM(D5:D9)</f>
        <v>11780768.006983332</v>
      </c>
    </row>
    <row r="11" spans="1:9" x14ac:dyDescent="0.25">
      <c r="A11" s="168"/>
      <c r="B11" s="201"/>
      <c r="C11" s="64" t="s">
        <v>36</v>
      </c>
      <c r="D11" s="63"/>
    </row>
    <row r="12" spans="1:9" x14ac:dyDescent="0.25">
      <c r="A12" s="168"/>
      <c r="B12" s="201">
        <v>110</v>
      </c>
      <c r="C12" t="s">
        <v>37</v>
      </c>
      <c r="D12" s="24">
        <v>0</v>
      </c>
    </row>
    <row r="13" spans="1:9" x14ac:dyDescent="0.25">
      <c r="A13" s="168">
        <f>A97</f>
        <v>13</v>
      </c>
      <c r="B13" s="201">
        <v>120</v>
      </c>
      <c r="C13" t="s">
        <v>18</v>
      </c>
      <c r="D13" s="3">
        <f>D115</f>
        <v>6409999.9999999991</v>
      </c>
    </row>
    <row r="14" spans="1:9" x14ac:dyDescent="0.25">
      <c r="A14" s="167"/>
      <c r="B14" s="201">
        <v>139</v>
      </c>
      <c r="C14" t="s">
        <v>29</v>
      </c>
      <c r="D14" s="18">
        <f>D12+D13</f>
        <v>6409999.9999999991</v>
      </c>
    </row>
    <row r="15" spans="1:9" x14ac:dyDescent="0.25">
      <c r="A15" s="167"/>
      <c r="B15" s="201"/>
      <c r="C15" s="64" t="s">
        <v>30</v>
      </c>
      <c r="D15" s="63"/>
    </row>
    <row r="16" spans="1:9" x14ac:dyDescent="0.25">
      <c r="A16" s="167"/>
      <c r="B16" s="201">
        <v>149</v>
      </c>
      <c r="C16" t="s">
        <v>30</v>
      </c>
      <c r="D16" s="18">
        <f>D10+D14</f>
        <v>18190768.006983332</v>
      </c>
    </row>
    <row r="17" spans="1:8" x14ac:dyDescent="0.25">
      <c r="A17" s="167"/>
      <c r="B17" s="201">
        <v>199</v>
      </c>
      <c r="C17" t="s">
        <v>19</v>
      </c>
      <c r="D17" s="18">
        <f>D16</f>
        <v>18190768.006983332</v>
      </c>
    </row>
    <row r="18" spans="1:8" x14ac:dyDescent="0.25">
      <c r="A18" s="167"/>
      <c r="B18" s="202"/>
      <c r="C18" s="68" t="s">
        <v>20</v>
      </c>
      <c r="D18" s="69"/>
    </row>
    <row r="19" spans="1:8" x14ac:dyDescent="0.25">
      <c r="A19" s="167"/>
      <c r="B19" s="201"/>
      <c r="C19" s="62" t="s">
        <v>31</v>
      </c>
      <c r="D19" s="63"/>
    </row>
    <row r="20" spans="1:8" x14ac:dyDescent="0.25">
      <c r="A20" s="167"/>
      <c r="B20" s="201">
        <v>500</v>
      </c>
      <c r="C20" t="s">
        <v>32</v>
      </c>
      <c r="D20" s="18">
        <f>D17/2</f>
        <v>9095384.0034916662</v>
      </c>
    </row>
    <row r="21" spans="1:8" x14ac:dyDescent="0.25">
      <c r="A21" s="167"/>
      <c r="B21" s="201"/>
      <c r="C21" s="64" t="s">
        <v>21</v>
      </c>
      <c r="D21" s="65"/>
    </row>
    <row r="22" spans="1:8" x14ac:dyDescent="0.25">
      <c r="A22" s="168">
        <f>A97</f>
        <v>13</v>
      </c>
      <c r="B22" s="201">
        <v>510</v>
      </c>
      <c r="C22" t="s">
        <v>22</v>
      </c>
      <c r="D22" s="3">
        <f>D13</f>
        <v>6409999.9999999991</v>
      </c>
    </row>
    <row r="23" spans="1:8" x14ac:dyDescent="0.25">
      <c r="A23" s="167"/>
      <c r="B23" s="201">
        <v>512</v>
      </c>
      <c r="C23" t="s">
        <v>23</v>
      </c>
      <c r="D23" s="3">
        <v>0</v>
      </c>
    </row>
    <row r="24" spans="1:8" x14ac:dyDescent="0.25">
      <c r="A24" s="167"/>
      <c r="B24" s="201">
        <v>514</v>
      </c>
      <c r="C24" t="s">
        <v>45</v>
      </c>
      <c r="D24" s="3">
        <v>0</v>
      </c>
      <c r="F24" s="28" t="s">
        <v>61</v>
      </c>
    </row>
    <row r="25" spans="1:8" x14ac:dyDescent="0.25">
      <c r="A25" s="167"/>
      <c r="B25" s="201">
        <v>519</v>
      </c>
      <c r="C25" t="s">
        <v>11</v>
      </c>
      <c r="D25" s="18">
        <f>D22+D23+D24</f>
        <v>6409999.9999999991</v>
      </c>
    </row>
    <row r="26" spans="1:8" x14ac:dyDescent="0.25">
      <c r="A26" s="167"/>
      <c r="B26" s="203"/>
      <c r="C26" s="62" t="s">
        <v>46</v>
      </c>
      <c r="D26" s="63"/>
    </row>
    <row r="27" spans="1:8" x14ac:dyDescent="0.25">
      <c r="A27" s="167"/>
      <c r="B27" s="201">
        <v>522</v>
      </c>
      <c r="C27" t="s">
        <v>47</v>
      </c>
      <c r="D27" s="18">
        <v>0</v>
      </c>
      <c r="E27" s="45"/>
      <c r="F27" s="45"/>
    </row>
    <row r="28" spans="1:8" x14ac:dyDescent="0.25">
      <c r="A28" s="167"/>
      <c r="B28" s="201"/>
      <c r="C28" s="62" t="s">
        <v>33</v>
      </c>
      <c r="D28" s="63"/>
      <c r="E28" s="45"/>
      <c r="F28" s="45"/>
    </row>
    <row r="29" spans="1:8" x14ac:dyDescent="0.25">
      <c r="A29" s="167"/>
      <c r="B29" s="201">
        <v>530</v>
      </c>
      <c r="C29" s="20" t="s">
        <v>34</v>
      </c>
      <c r="D29" s="3">
        <v>0</v>
      </c>
      <c r="E29" s="45"/>
      <c r="F29" s="45"/>
    </row>
    <row r="30" spans="1:8" x14ac:dyDescent="0.25">
      <c r="A30" s="167"/>
      <c r="B30" s="201"/>
      <c r="C30" s="62" t="s">
        <v>35</v>
      </c>
      <c r="D30" s="63"/>
      <c r="E30" s="45"/>
      <c r="F30" s="45"/>
      <c r="G30" s="1" t="s">
        <v>38</v>
      </c>
      <c r="H30" s="1"/>
    </row>
    <row r="31" spans="1:8" x14ac:dyDescent="0.25">
      <c r="A31" s="167"/>
      <c r="B31" s="201">
        <v>533</v>
      </c>
      <c r="C31" t="s">
        <v>48</v>
      </c>
      <c r="D31" s="3">
        <v>0</v>
      </c>
      <c r="E31" s="45"/>
      <c r="F31" s="45"/>
    </row>
    <row r="32" spans="1:8" ht="14.25" customHeight="1" x14ac:dyDescent="0.25">
      <c r="A32" s="167"/>
      <c r="B32" s="201">
        <v>535</v>
      </c>
      <c r="C32" t="s">
        <v>49</v>
      </c>
      <c r="D32" s="3">
        <f>D53</f>
        <v>2685384</v>
      </c>
      <c r="E32" s="45"/>
      <c r="F32" s="45"/>
    </row>
    <row r="33" spans="1:8" x14ac:dyDescent="0.25">
      <c r="A33" s="167" t="s">
        <v>77</v>
      </c>
      <c r="B33" s="201">
        <v>539</v>
      </c>
      <c r="C33" t="s">
        <v>11</v>
      </c>
      <c r="D33" s="18">
        <f>D31+D32</f>
        <v>2685384</v>
      </c>
      <c r="F33" s="45"/>
    </row>
    <row r="34" spans="1:8" x14ac:dyDescent="0.25">
      <c r="A34" s="167"/>
      <c r="B34" s="204">
        <v>599</v>
      </c>
      <c r="C34" s="54" t="s">
        <v>24</v>
      </c>
      <c r="D34" s="55">
        <f>D20+D25+D27+D33</f>
        <v>18190768.003491666</v>
      </c>
      <c r="E34" s="45"/>
      <c r="F34" s="45"/>
    </row>
    <row r="35" spans="1:8" x14ac:dyDescent="0.25">
      <c r="A35" s="167"/>
      <c r="B35" s="205"/>
      <c r="C35" s="76" t="s">
        <v>118</v>
      </c>
      <c r="D35" s="70">
        <f>D17-D34</f>
        <v>3.491666167974472E-3</v>
      </c>
      <c r="E35" s="173"/>
      <c r="F35" s="45"/>
    </row>
    <row r="36" spans="1:8" x14ac:dyDescent="0.25">
      <c r="A36" s="167"/>
      <c r="B36" s="205"/>
      <c r="C36" s="76"/>
      <c r="D36" s="70"/>
      <c r="E36" s="173"/>
      <c r="F36" s="45"/>
    </row>
    <row r="37" spans="1:8" x14ac:dyDescent="0.25">
      <c r="A37" s="167"/>
      <c r="B37" s="206"/>
      <c r="C37" s="16"/>
      <c r="D37" s="26"/>
      <c r="E37" s="45"/>
      <c r="F37" s="45"/>
    </row>
    <row r="38" spans="1:8" ht="19.5" customHeight="1" thickBot="1" x14ac:dyDescent="0.35">
      <c r="A38" s="170" t="s">
        <v>128</v>
      </c>
      <c r="B38" s="199" t="str">
        <f>B3</f>
        <v>Kontonr.</v>
      </c>
      <c r="C38" s="51" t="s">
        <v>72</v>
      </c>
      <c r="D38" s="51"/>
      <c r="E38" s="51"/>
      <c r="F38" s="51"/>
    </row>
    <row r="39" spans="1:8" ht="15.75" thickTop="1" x14ac:dyDescent="0.25">
      <c r="A39" s="171"/>
      <c r="B39" s="207"/>
      <c r="C39" s="112" t="s">
        <v>116</v>
      </c>
      <c r="D39" s="113">
        <f>1628</f>
        <v>1628</v>
      </c>
      <c r="E39" s="114"/>
      <c r="F39" s="114"/>
    </row>
    <row r="40" spans="1:8" ht="21" customHeight="1" x14ac:dyDescent="0.25">
      <c r="A40" s="171"/>
      <c r="B40" s="207"/>
      <c r="C40" s="137" t="str">
        <f>C5</f>
        <v>Projektarbejde, faktiske løn</v>
      </c>
      <c r="D40" s="148" t="s">
        <v>13</v>
      </c>
      <c r="E40" s="149" t="s">
        <v>52</v>
      </c>
      <c r="F40" s="150" t="s">
        <v>12</v>
      </c>
    </row>
    <row r="41" spans="1:8" ht="19.5" customHeight="1" x14ac:dyDescent="0.25">
      <c r="A41" s="171">
        <v>1</v>
      </c>
      <c r="B41" s="208">
        <v>20</v>
      </c>
      <c r="C41" s="115" t="s">
        <v>136</v>
      </c>
      <c r="D41" s="242">
        <f t="shared" ref="D41:D46" si="0">E41*F41</f>
        <v>761904</v>
      </c>
      <c r="E41" s="72">
        <f>(D39/12*36)/2</f>
        <v>2442</v>
      </c>
      <c r="F41" s="79">
        <f>312</f>
        <v>312</v>
      </c>
    </row>
    <row r="42" spans="1:8" ht="15.75" customHeight="1" x14ac:dyDescent="0.25">
      <c r="A42" s="171">
        <v>2</v>
      </c>
      <c r="B42" s="208">
        <v>20</v>
      </c>
      <c r="C42" s="115" t="s">
        <v>135</v>
      </c>
      <c r="D42" s="242">
        <f>E42*F42</f>
        <v>5461397.333333333</v>
      </c>
      <c r="E42" s="72">
        <f>(D39/12*34)*4</f>
        <v>18450.666666666664</v>
      </c>
      <c r="F42" s="79">
        <f>296</f>
        <v>296</v>
      </c>
      <c r="G42" s="186"/>
    </row>
    <row r="43" spans="1:8" ht="18" customHeight="1" x14ac:dyDescent="0.25">
      <c r="A43" s="171">
        <v>3</v>
      </c>
      <c r="B43" s="208">
        <v>20</v>
      </c>
      <c r="C43" s="115" t="s">
        <v>130</v>
      </c>
      <c r="D43" s="242">
        <f>E43*F43-0.01</f>
        <v>68639.990000000005</v>
      </c>
      <c r="E43" s="72">
        <f>10*24</f>
        <v>240</v>
      </c>
      <c r="F43" s="79">
        <f>286</f>
        <v>286</v>
      </c>
    </row>
    <row r="44" spans="1:8" ht="18" customHeight="1" x14ac:dyDescent="0.25">
      <c r="A44" s="171">
        <v>4</v>
      </c>
      <c r="B44" s="208">
        <v>20</v>
      </c>
      <c r="C44" s="115" t="s">
        <v>131</v>
      </c>
      <c r="D44" s="242">
        <f>E44*F44-0.01</f>
        <v>7721.99</v>
      </c>
      <c r="E44" s="72">
        <f>27</f>
        <v>27</v>
      </c>
      <c r="F44" s="79">
        <f>286</f>
        <v>286</v>
      </c>
    </row>
    <row r="45" spans="1:8" ht="18" customHeight="1" x14ac:dyDescent="0.25">
      <c r="A45" s="171">
        <v>5</v>
      </c>
      <c r="B45" s="208">
        <v>20</v>
      </c>
      <c r="C45" s="115" t="s">
        <v>133</v>
      </c>
      <c r="D45" s="242">
        <f t="shared" si="0"/>
        <v>360000</v>
      </c>
      <c r="E45" s="72">
        <f>40*36</f>
        <v>1440</v>
      </c>
      <c r="F45" s="79">
        <f>250</f>
        <v>250</v>
      </c>
    </row>
    <row r="46" spans="1:8" ht="18.75" customHeight="1" x14ac:dyDescent="0.25">
      <c r="A46" s="171">
        <v>6</v>
      </c>
      <c r="B46" s="208">
        <v>20</v>
      </c>
      <c r="C46" s="116" t="s">
        <v>134</v>
      </c>
      <c r="D46" s="242">
        <f t="shared" si="0"/>
        <v>340000</v>
      </c>
      <c r="E46" s="72">
        <f>40*34</f>
        <v>1360</v>
      </c>
      <c r="F46" s="79">
        <f>250</f>
        <v>250</v>
      </c>
    </row>
    <row r="47" spans="1:8" s="2" customFormat="1" ht="21.75" customHeight="1" x14ac:dyDescent="0.25">
      <c r="A47" s="171"/>
      <c r="B47" s="209"/>
      <c r="C47" s="117" t="s">
        <v>11</v>
      </c>
      <c r="D47" s="243">
        <f>SUM(D41:D46)</f>
        <v>6999663.3133333335</v>
      </c>
      <c r="E47" s="73">
        <f>SUM(E41:E46)</f>
        <v>23959.666666666664</v>
      </c>
      <c r="F47" s="80"/>
      <c r="H47" s="184"/>
    </row>
    <row r="48" spans="1:8" ht="18" customHeight="1" x14ac:dyDescent="0.25">
      <c r="A48" s="171"/>
      <c r="B48" s="208"/>
      <c r="C48" s="118"/>
      <c r="D48" s="244"/>
      <c r="E48" s="59"/>
      <c r="F48" s="81"/>
    </row>
    <row r="49" spans="1:8" ht="21" customHeight="1" x14ac:dyDescent="0.25">
      <c r="A49" s="171"/>
      <c r="B49" s="208"/>
      <c r="C49" s="117" t="str">
        <f>C32</f>
        <v>Offentlig lignende egenfinansiering</v>
      </c>
      <c r="D49" s="242"/>
      <c r="E49" s="72"/>
      <c r="F49" s="79"/>
      <c r="G49" s="3"/>
    </row>
    <row r="50" spans="1:8" ht="18.75" customHeight="1" x14ac:dyDescent="0.25">
      <c r="A50" s="171">
        <v>7</v>
      </c>
      <c r="B50" s="208">
        <v>20</v>
      </c>
      <c r="C50" s="115" t="s">
        <v>105</v>
      </c>
      <c r="D50" s="245">
        <f>E50*F50</f>
        <v>531960</v>
      </c>
      <c r="E50" s="72">
        <f>E67</f>
        <v>1860</v>
      </c>
      <c r="F50" s="79">
        <f>286</f>
        <v>286</v>
      </c>
    </row>
    <row r="51" spans="1:8" ht="18" customHeight="1" x14ac:dyDescent="0.25">
      <c r="A51" s="171">
        <v>8</v>
      </c>
      <c r="B51" s="208">
        <v>20</v>
      </c>
      <c r="C51" s="115" t="s">
        <v>106</v>
      </c>
      <c r="D51" s="245">
        <f>E51*F51</f>
        <v>2066064</v>
      </c>
      <c r="E51" s="72">
        <f>E79</f>
        <v>7224</v>
      </c>
      <c r="F51" s="79">
        <f>286</f>
        <v>286</v>
      </c>
    </row>
    <row r="52" spans="1:8" ht="18" customHeight="1" x14ac:dyDescent="0.25">
      <c r="A52" s="171">
        <v>9</v>
      </c>
      <c r="B52" s="208">
        <v>20</v>
      </c>
      <c r="C52" s="119" t="s">
        <v>59</v>
      </c>
      <c r="D52" s="245">
        <f>E52*F52</f>
        <v>87360</v>
      </c>
      <c r="E52" s="82">
        <f>7*8*5</f>
        <v>280</v>
      </c>
      <c r="F52" s="79">
        <v>312</v>
      </c>
    </row>
    <row r="53" spans="1:8" s="2" customFormat="1" ht="17.25" customHeight="1" x14ac:dyDescent="0.25">
      <c r="A53" s="171"/>
      <c r="B53" s="210"/>
      <c r="C53" s="120" t="s">
        <v>11</v>
      </c>
      <c r="D53" s="246">
        <f>SUM(D50:D52)</f>
        <v>2685384</v>
      </c>
      <c r="E53" s="74">
        <f>SUM(E50:E52)</f>
        <v>9364</v>
      </c>
      <c r="F53" s="82"/>
    </row>
    <row r="54" spans="1:8" ht="17.25" customHeight="1" x14ac:dyDescent="0.25">
      <c r="A54" s="171"/>
      <c r="B54" s="207"/>
      <c r="C54" s="121"/>
      <c r="D54" s="247"/>
      <c r="E54" s="75"/>
      <c r="F54" s="83"/>
    </row>
    <row r="55" spans="1:8" s="2" customFormat="1" ht="17.25" customHeight="1" thickBot="1" x14ac:dyDescent="0.3">
      <c r="A55" s="171"/>
      <c r="B55" s="210"/>
      <c r="C55" s="178" t="s">
        <v>71</v>
      </c>
      <c r="D55" s="248">
        <f>D47+D53</f>
        <v>9685047.3133333325</v>
      </c>
      <c r="E55" s="179">
        <f>E47+E53</f>
        <v>33323.666666666664</v>
      </c>
      <c r="F55" s="179"/>
    </row>
    <row r="56" spans="1:8" ht="17.25" customHeight="1" thickTop="1" x14ac:dyDescent="0.25">
      <c r="A56" s="171"/>
      <c r="B56" s="207"/>
      <c r="C56" s="122"/>
      <c r="D56" s="58"/>
      <c r="E56" s="37"/>
      <c r="F56" s="84"/>
    </row>
    <row r="57" spans="1:8" ht="16.5" customHeight="1" x14ac:dyDescent="0.25">
      <c r="A57" s="171"/>
      <c r="B57" s="207"/>
      <c r="C57" s="97" t="s">
        <v>58</v>
      </c>
      <c r="D57" s="85"/>
      <c r="E57" s="86"/>
      <c r="F57" s="86"/>
    </row>
    <row r="58" spans="1:8" ht="17.25" customHeight="1" x14ac:dyDescent="0.25">
      <c r="A58" s="171"/>
      <c r="B58" s="207"/>
      <c r="C58" s="123" t="s">
        <v>62</v>
      </c>
      <c r="D58" s="87" t="s">
        <v>122</v>
      </c>
      <c r="E58" s="87" t="s">
        <v>52</v>
      </c>
      <c r="F58" s="87" t="s">
        <v>55</v>
      </c>
    </row>
    <row r="59" spans="1:8" ht="17.25" customHeight="1" x14ac:dyDescent="0.25">
      <c r="A59" s="171"/>
      <c r="B59" s="207"/>
      <c r="C59" s="124"/>
      <c r="D59" s="88"/>
      <c r="E59" s="89"/>
      <c r="F59" s="89"/>
    </row>
    <row r="60" spans="1:8" s="38" customFormat="1" ht="62.25" customHeight="1" x14ac:dyDescent="0.25">
      <c r="A60" s="174" t="s">
        <v>125</v>
      </c>
      <c r="B60" s="208">
        <v>20</v>
      </c>
      <c r="C60" s="125" t="s">
        <v>74</v>
      </c>
      <c r="D60" s="251" t="s">
        <v>115</v>
      </c>
      <c r="E60" s="251"/>
      <c r="F60" s="251"/>
    </row>
    <row r="61" spans="1:8" s="38" customFormat="1" ht="24" customHeight="1" x14ac:dyDescent="0.25">
      <c r="A61" s="174"/>
      <c r="B61" s="208"/>
      <c r="C61" s="126" t="s">
        <v>65</v>
      </c>
      <c r="D61" s="90"/>
      <c r="E61" s="91"/>
      <c r="F61" s="92"/>
      <c r="G61" s="40"/>
    </row>
    <row r="62" spans="1:8" s="38" customFormat="1" ht="47.25" customHeight="1" x14ac:dyDescent="0.25">
      <c r="A62" s="174" t="s">
        <v>126</v>
      </c>
      <c r="B62" s="208">
        <v>20</v>
      </c>
      <c r="C62" s="127" t="s">
        <v>139</v>
      </c>
      <c r="D62" s="187">
        <f>E62*F50</f>
        <v>160160</v>
      </c>
      <c r="E62" s="187">
        <f>10*4*14</f>
        <v>560</v>
      </c>
      <c r="F62" s="71">
        <f>0</f>
        <v>0</v>
      </c>
    </row>
    <row r="63" spans="1:8" s="38" customFormat="1" ht="24.75" customHeight="1" x14ac:dyDescent="0.25">
      <c r="A63" s="174"/>
      <c r="B63" s="208"/>
      <c r="C63" s="126" t="s">
        <v>66</v>
      </c>
      <c r="D63" s="187"/>
      <c r="E63" s="187"/>
      <c r="F63" s="71"/>
    </row>
    <row r="64" spans="1:8" s="38" customFormat="1" ht="75.75" customHeight="1" x14ac:dyDescent="0.25">
      <c r="A64" s="174" t="s">
        <v>126</v>
      </c>
      <c r="B64" s="208">
        <v>20</v>
      </c>
      <c r="C64" s="127" t="s">
        <v>140</v>
      </c>
      <c r="D64" s="187">
        <f>E64*F50</f>
        <v>320320</v>
      </c>
      <c r="E64" s="187">
        <f>20*4*14</f>
        <v>1120</v>
      </c>
      <c r="F64" s="71">
        <f>0</f>
        <v>0</v>
      </c>
      <c r="G64" s="40"/>
      <c r="H64" s="40"/>
    </row>
    <row r="65" spans="1:20" s="40" customFormat="1" ht="16.5" customHeight="1" x14ac:dyDescent="0.25">
      <c r="A65" s="174"/>
      <c r="B65" s="208"/>
      <c r="C65" s="126" t="s">
        <v>67</v>
      </c>
      <c r="D65" s="187"/>
      <c r="E65" s="187"/>
      <c r="F65" s="71"/>
      <c r="H65" s="38"/>
      <c r="I65" s="38"/>
    </row>
    <row r="66" spans="1:20" s="38" customFormat="1" ht="72" customHeight="1" x14ac:dyDescent="0.25">
      <c r="A66" s="174" t="s">
        <v>126</v>
      </c>
      <c r="B66" s="208">
        <v>20</v>
      </c>
      <c r="C66" s="127" t="s">
        <v>137</v>
      </c>
      <c r="D66" s="187">
        <f>E66*F50</f>
        <v>51480</v>
      </c>
      <c r="E66" s="90">
        <f>9*4*5</f>
        <v>180</v>
      </c>
      <c r="F66" s="71">
        <f>0</f>
        <v>0</v>
      </c>
      <c r="G66" s="41"/>
      <c r="H66" s="42"/>
      <c r="I66" s="39"/>
    </row>
    <row r="67" spans="1:20" s="27" customFormat="1" ht="16.149999999999999" customHeight="1" thickBot="1" x14ac:dyDescent="0.3">
      <c r="A67" s="174"/>
      <c r="B67" s="211"/>
      <c r="C67" s="180" t="s">
        <v>129</v>
      </c>
      <c r="D67" s="176">
        <f>SUM(D62:D66)</f>
        <v>531960</v>
      </c>
      <c r="E67" s="176">
        <f>SUM(E62:E66)</f>
        <v>1860</v>
      </c>
      <c r="F67" s="180">
        <f>SUM(F62:F66)</f>
        <v>0</v>
      </c>
      <c r="G67" s="36"/>
      <c r="H67" s="16"/>
      <c r="I67" s="35"/>
    </row>
    <row r="68" spans="1:20" s="35" customFormat="1" ht="12" customHeight="1" thickTop="1" x14ac:dyDescent="0.25">
      <c r="A68" s="174"/>
      <c r="B68" s="212"/>
      <c r="C68" s="120"/>
      <c r="D68" s="25"/>
      <c r="E68" s="188"/>
      <c r="F68" s="30"/>
      <c r="G68"/>
      <c r="H68"/>
      <c r="I68" s="16"/>
    </row>
    <row r="69" spans="1:20" ht="17.25" customHeight="1" x14ac:dyDescent="0.25">
      <c r="A69" s="174"/>
      <c r="B69" s="207"/>
      <c r="C69" s="97" t="s">
        <v>64</v>
      </c>
      <c r="D69" s="189"/>
      <c r="E69" s="189"/>
      <c r="F69" s="87"/>
      <c r="I69" s="33"/>
    </row>
    <row r="70" spans="1:20" s="33" customFormat="1" ht="15.75" customHeight="1" x14ac:dyDescent="0.25">
      <c r="A70" s="174"/>
      <c r="B70" s="213"/>
      <c r="C70" s="123" t="s">
        <v>63</v>
      </c>
      <c r="D70" s="189" t="str">
        <f>D58</f>
        <v xml:space="preserve">Kr. </v>
      </c>
      <c r="E70" s="189" t="str">
        <f>E58</f>
        <v>Antal projekttimer</v>
      </c>
      <c r="F70" s="87" t="str">
        <f>F58</f>
        <v>EUD elevtimer</v>
      </c>
      <c r="G70" s="32"/>
      <c r="H70"/>
      <c r="I70" s="3"/>
    </row>
    <row r="71" spans="1:20" ht="21.75" customHeight="1" x14ac:dyDescent="0.25">
      <c r="A71" s="174"/>
      <c r="B71" s="207"/>
      <c r="C71" s="128"/>
      <c r="D71" s="49"/>
      <c r="E71" s="101"/>
      <c r="F71" s="45"/>
      <c r="G71" s="16"/>
    </row>
    <row r="72" spans="1:20" ht="20.25" customHeight="1" x14ac:dyDescent="0.25">
      <c r="A72" s="174"/>
      <c r="C72" s="126" t="s">
        <v>68</v>
      </c>
      <c r="D72" s="190"/>
      <c r="E72" s="191"/>
      <c r="F72" s="95"/>
      <c r="G72" s="32"/>
      <c r="H72" s="32"/>
    </row>
    <row r="73" spans="1:20" ht="49.5" customHeight="1" x14ac:dyDescent="0.25">
      <c r="A73" s="174" t="s">
        <v>127</v>
      </c>
      <c r="B73" s="208">
        <v>20</v>
      </c>
      <c r="C73" s="127" t="s">
        <v>157</v>
      </c>
      <c r="D73" s="187">
        <f>E73*F51</f>
        <v>1537536</v>
      </c>
      <c r="E73" s="187">
        <f>168*(24+8)</f>
        <v>5376</v>
      </c>
      <c r="F73" s="71">
        <f>1680*24</f>
        <v>40320</v>
      </c>
      <c r="G73" s="32"/>
      <c r="H73" s="16"/>
      <c r="I73" s="32"/>
    </row>
    <row r="74" spans="1:20" s="32" customFormat="1" ht="40.5" customHeight="1" x14ac:dyDescent="0.25">
      <c r="A74" s="174"/>
      <c r="B74" s="208"/>
      <c r="C74" s="126" t="s">
        <v>69</v>
      </c>
      <c r="D74" s="187"/>
      <c r="E74" s="187"/>
      <c r="F74" s="71"/>
      <c r="I74" s="16"/>
    </row>
    <row r="75" spans="1:20" s="16" customFormat="1" ht="51.75" customHeight="1" x14ac:dyDescent="0.25">
      <c r="A75" s="174" t="s">
        <v>127</v>
      </c>
      <c r="B75" s="208">
        <v>20</v>
      </c>
      <c r="C75" s="127" t="s">
        <v>141</v>
      </c>
      <c r="D75" s="187">
        <f>E75*F51</f>
        <v>288288</v>
      </c>
      <c r="E75" s="187">
        <f>168*6</f>
        <v>1008</v>
      </c>
      <c r="F75" s="71">
        <f>1680*1.5</f>
        <v>2520</v>
      </c>
      <c r="G75" s="32"/>
      <c r="H75" s="32"/>
      <c r="I75" s="32"/>
    </row>
    <row r="76" spans="1:20" s="32" customFormat="1" ht="23.25" customHeight="1" x14ac:dyDescent="0.25">
      <c r="A76" s="175"/>
      <c r="B76" s="208"/>
      <c r="C76" s="126" t="s">
        <v>70</v>
      </c>
      <c r="D76" s="190"/>
      <c r="E76" s="190"/>
      <c r="F76" s="94"/>
      <c r="G76" s="16"/>
      <c r="H76" s="216"/>
    </row>
    <row r="77" spans="1:20" s="16" customFormat="1" ht="48" customHeight="1" x14ac:dyDescent="0.25">
      <c r="A77" s="175" t="s">
        <v>127</v>
      </c>
      <c r="B77" s="208">
        <v>20</v>
      </c>
      <c r="C77" s="127" t="s">
        <v>138</v>
      </c>
      <c r="D77" s="187">
        <f>E77*F51</f>
        <v>240240</v>
      </c>
      <c r="E77" s="187">
        <f>3*7*4*10</f>
        <v>840</v>
      </c>
      <c r="F77" s="71">
        <f>1680*8</f>
        <v>13440</v>
      </c>
      <c r="H77" s="3"/>
      <c r="I77" s="185"/>
      <c r="J77" s="34"/>
      <c r="K77" s="34"/>
      <c r="L77" s="34"/>
      <c r="M77" s="34"/>
      <c r="N77" s="34"/>
      <c r="O77" s="34"/>
      <c r="P77" s="34"/>
      <c r="Q77" s="34"/>
      <c r="R77" s="34"/>
      <c r="S77" s="34"/>
    </row>
    <row r="78" spans="1:20" s="16" customFormat="1" ht="20.25" customHeight="1" x14ac:dyDescent="0.25">
      <c r="A78" s="175">
        <v>10</v>
      </c>
      <c r="B78" s="208">
        <v>40</v>
      </c>
      <c r="C78" s="127" t="s">
        <v>144</v>
      </c>
      <c r="D78" s="187">
        <f>(3*7*3435.987)</f>
        <v>72155.726999999999</v>
      </c>
      <c r="E78" s="187"/>
      <c r="F78" s="71"/>
      <c r="G78" s="26"/>
      <c r="H78" s="198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</row>
    <row r="79" spans="1:20" s="16" customFormat="1" ht="18" customHeight="1" thickBot="1" x14ac:dyDescent="0.3">
      <c r="A79" s="172"/>
      <c r="B79" s="206"/>
      <c r="C79" s="176" t="str">
        <f>C67</f>
        <v>Hovedaktivtet i alt</v>
      </c>
      <c r="D79" s="164">
        <f>SUM(D73:D78)</f>
        <v>2138219.727</v>
      </c>
      <c r="E79" s="164">
        <f t="shared" ref="E79:F79" si="1">SUM(E73:E78)</f>
        <v>7224</v>
      </c>
      <c r="F79" s="177">
        <f t="shared" si="1"/>
        <v>56280</v>
      </c>
      <c r="H79" s="3"/>
      <c r="I79"/>
      <c r="J79"/>
      <c r="K79"/>
      <c r="L79"/>
      <c r="M79"/>
      <c r="N79"/>
      <c r="O79"/>
      <c r="P79"/>
      <c r="Q79"/>
      <c r="R79"/>
      <c r="S79"/>
      <c r="T79" s="34"/>
    </row>
    <row r="80" spans="1:20" ht="15.75" thickTop="1" x14ac:dyDescent="0.25">
      <c r="A80" s="171"/>
      <c r="C80" s="47"/>
      <c r="D80" s="25"/>
      <c r="E80" s="192"/>
      <c r="F80" s="96"/>
    </row>
    <row r="81" spans="1:26" ht="18.75" customHeight="1" x14ac:dyDescent="0.25">
      <c r="A81" s="171">
        <v>11</v>
      </c>
      <c r="C81" s="137" t="s">
        <v>100</v>
      </c>
      <c r="D81" s="193"/>
      <c r="E81" s="193"/>
      <c r="F81" s="97"/>
    </row>
    <row r="82" spans="1:26" x14ac:dyDescent="0.25">
      <c r="A82" s="171"/>
      <c r="C82" s="47" t="s">
        <v>40</v>
      </c>
      <c r="D82" s="49">
        <v>3091.01</v>
      </c>
      <c r="E82" s="49"/>
      <c r="F82" s="47"/>
    </row>
    <row r="83" spans="1:26" x14ac:dyDescent="0.25">
      <c r="A83" s="171"/>
      <c r="C83" s="47" t="s">
        <v>41</v>
      </c>
      <c r="D83" s="49">
        <v>4121</v>
      </c>
      <c r="E83" s="194"/>
      <c r="F83" s="49"/>
    </row>
    <row r="84" spans="1:26" x14ac:dyDescent="0.25">
      <c r="A84" s="171"/>
      <c r="C84" s="47" t="s">
        <v>42</v>
      </c>
      <c r="D84" s="49">
        <f>6181</f>
        <v>6181</v>
      </c>
      <c r="E84" s="194"/>
      <c r="F84" s="47"/>
    </row>
    <row r="85" spans="1:26" x14ac:dyDescent="0.25">
      <c r="A85" s="171"/>
      <c r="C85" s="47" t="s">
        <v>85</v>
      </c>
      <c r="D85" s="49">
        <f>12363*2</f>
        <v>24726</v>
      </c>
      <c r="E85" s="195"/>
      <c r="F85" s="47"/>
    </row>
    <row r="86" spans="1:26" ht="30" x14ac:dyDescent="0.25">
      <c r="A86" s="171"/>
      <c r="C86" s="129" t="s">
        <v>84</v>
      </c>
      <c r="D86" s="49">
        <f>15966*6</f>
        <v>95796</v>
      </c>
      <c r="E86" s="194"/>
      <c r="F86" s="47"/>
    </row>
    <row r="87" spans="1:26" ht="15" customHeight="1" x14ac:dyDescent="0.25">
      <c r="A87" s="171"/>
      <c r="C87" s="47" t="s">
        <v>83</v>
      </c>
      <c r="D87" s="49">
        <v>16484</v>
      </c>
      <c r="E87" s="196"/>
      <c r="F87" s="47"/>
      <c r="G87" s="2"/>
    </row>
    <row r="88" spans="1:26" x14ac:dyDescent="0.25">
      <c r="A88" s="171"/>
      <c r="C88" s="98" t="s">
        <v>82</v>
      </c>
      <c r="D88" s="99">
        <f>10302*6</f>
        <v>61812</v>
      </c>
      <c r="E88" s="196"/>
      <c r="F88" s="47"/>
    </row>
    <row r="89" spans="1:26" x14ac:dyDescent="0.25">
      <c r="A89" s="171"/>
      <c r="C89" s="98" t="s">
        <v>60</v>
      </c>
      <c r="D89" s="99">
        <f>1751*2</f>
        <v>3502</v>
      </c>
      <c r="E89" s="196"/>
      <c r="F89" s="47"/>
    </row>
    <row r="90" spans="1:26" x14ac:dyDescent="0.25">
      <c r="A90" s="171"/>
      <c r="C90" s="183" t="s">
        <v>53</v>
      </c>
      <c r="D90" s="99"/>
      <c r="E90" s="194"/>
      <c r="F90" s="98"/>
    </row>
    <row r="91" spans="1:26" ht="16.5" thickBot="1" x14ac:dyDescent="0.3">
      <c r="A91" s="171"/>
      <c r="C91" s="176" t="s">
        <v>14</v>
      </c>
      <c r="D91" s="164">
        <f>SUM(D82:D89)*105%</f>
        <v>226498.66050000003</v>
      </c>
      <c r="E91" s="197"/>
      <c r="F91" s="97"/>
    </row>
    <row r="92" spans="1:26" ht="15.75" thickTop="1" x14ac:dyDescent="0.25">
      <c r="A92" s="171"/>
      <c r="C92" s="47"/>
      <c r="D92" s="25"/>
      <c r="E92" s="196"/>
      <c r="F92" s="47"/>
    </row>
    <row r="93" spans="1:26" ht="15.75" x14ac:dyDescent="0.25">
      <c r="A93" s="171">
        <v>12</v>
      </c>
      <c r="C93" s="137" t="s">
        <v>43</v>
      </c>
      <c r="D93" s="193"/>
      <c r="E93" s="193"/>
      <c r="F93" s="97"/>
    </row>
    <row r="94" spans="1:26" ht="75" x14ac:dyDescent="0.25">
      <c r="A94" s="171"/>
      <c r="C94" s="130" t="s">
        <v>54</v>
      </c>
      <c r="D94" s="49"/>
      <c r="E94" s="101"/>
      <c r="F94" s="100"/>
    </row>
    <row r="95" spans="1:26" ht="21.75" customHeight="1" thickBot="1" x14ac:dyDescent="0.3">
      <c r="A95" s="171"/>
      <c r="C95" s="176" t="str">
        <f>C9</f>
        <v>Øvrige udgifter 18% af ovenstående</v>
      </c>
      <c r="D95" s="164">
        <f>D9</f>
        <v>1797066.3061499996</v>
      </c>
      <c r="E95" s="193"/>
      <c r="F95" s="97"/>
    </row>
    <row r="96" spans="1:26" s="16" customFormat="1" ht="15.75" thickTop="1" x14ac:dyDescent="0.25">
      <c r="A96" s="171"/>
      <c r="B96" s="206"/>
      <c r="C96" s="98"/>
      <c r="D96" s="99"/>
      <c r="E96" s="31"/>
      <c r="F96" s="100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</row>
    <row r="97" spans="1:26" ht="15.75" x14ac:dyDescent="0.25">
      <c r="A97" s="171">
        <v>13</v>
      </c>
      <c r="C97" s="137" t="s">
        <v>79</v>
      </c>
      <c r="D97" s="97"/>
      <c r="E97" s="97"/>
      <c r="F97" s="97"/>
    </row>
    <row r="98" spans="1:26" x14ac:dyDescent="0.25">
      <c r="A98" s="171"/>
      <c r="C98" s="131" t="s">
        <v>50</v>
      </c>
      <c r="D98" s="102">
        <f>114.72</f>
        <v>114.72</v>
      </c>
      <c r="E98" s="45"/>
      <c r="F98" s="48"/>
    </row>
    <row r="99" spans="1:26" x14ac:dyDescent="0.25">
      <c r="A99" s="171"/>
      <c r="C99" s="47"/>
      <c r="D99" s="93"/>
      <c r="E99" s="45"/>
      <c r="F99" s="48"/>
    </row>
    <row r="100" spans="1:26" x14ac:dyDescent="0.25">
      <c r="A100" s="171"/>
      <c r="C100" s="132" t="s">
        <v>86</v>
      </c>
      <c r="D100" s="49"/>
      <c r="E100" s="45"/>
      <c r="F100" s="46"/>
    </row>
    <row r="101" spans="1:26" x14ac:dyDescent="0.25">
      <c r="A101" s="171"/>
      <c r="C101" s="44" t="s">
        <v>148</v>
      </c>
      <c r="D101" s="49">
        <f>1680/7/3</f>
        <v>80</v>
      </c>
      <c r="E101" s="45"/>
      <c r="F101" s="48"/>
    </row>
    <row r="102" spans="1:26" s="17" customFormat="1" x14ac:dyDescent="0.25">
      <c r="A102" s="171"/>
      <c r="B102" s="214"/>
      <c r="C102" s="44" t="s">
        <v>149</v>
      </c>
      <c r="D102" s="49">
        <f t="shared" ref="D102:D107" si="2">1680/7/3</f>
        <v>80</v>
      </c>
      <c r="E102" s="45"/>
      <c r="F102" s="48"/>
      <c r="G102"/>
      <c r="H102" s="47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</row>
    <row r="103" spans="1:26" x14ac:dyDescent="0.25">
      <c r="A103" s="171"/>
      <c r="C103" s="16" t="s">
        <v>150</v>
      </c>
      <c r="D103" s="49">
        <f t="shared" si="2"/>
        <v>80</v>
      </c>
      <c r="E103" s="45"/>
      <c r="F103" s="48"/>
      <c r="H103" s="47"/>
    </row>
    <row r="104" spans="1:26" ht="15.75" customHeight="1" x14ac:dyDescent="0.25">
      <c r="A104" s="171"/>
      <c r="C104" s="44" t="s">
        <v>151</v>
      </c>
      <c r="D104" s="49">
        <f t="shared" si="2"/>
        <v>80</v>
      </c>
      <c r="E104" s="45"/>
      <c r="F104" s="48"/>
      <c r="H104" s="47"/>
    </row>
    <row r="105" spans="1:26" ht="15.75" customHeight="1" x14ac:dyDescent="0.25">
      <c r="A105" s="171"/>
      <c r="C105" s="16" t="s">
        <v>152</v>
      </c>
      <c r="D105" s="49">
        <f t="shared" si="2"/>
        <v>80</v>
      </c>
      <c r="E105" s="45"/>
      <c r="F105" s="48"/>
      <c r="H105" s="47"/>
    </row>
    <row r="106" spans="1:26" s="15" customFormat="1" x14ac:dyDescent="0.25">
      <c r="A106" s="171"/>
      <c r="B106" s="215"/>
      <c r="C106" s="17" t="s">
        <v>153</v>
      </c>
      <c r="D106" s="49">
        <f t="shared" si="2"/>
        <v>80</v>
      </c>
      <c r="E106" s="45"/>
      <c r="F106" s="48"/>
      <c r="G106"/>
      <c r="H106" s="47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</row>
    <row r="107" spans="1:26" s="16" customFormat="1" x14ac:dyDescent="0.25">
      <c r="A107" s="171"/>
      <c r="B107" s="206"/>
      <c r="C107" s="16" t="s">
        <v>147</v>
      </c>
      <c r="D107" s="49">
        <f t="shared" si="2"/>
        <v>80</v>
      </c>
      <c r="E107" s="45"/>
      <c r="F107" s="48"/>
      <c r="G107"/>
      <c r="H107" s="47"/>
      <c r="I107" s="4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</row>
    <row r="108" spans="1:26" x14ac:dyDescent="0.25">
      <c r="A108" s="171"/>
      <c r="C108" s="133" t="s">
        <v>56</v>
      </c>
      <c r="D108" s="49">
        <f>SUM(D101:D107)</f>
        <v>560</v>
      </c>
      <c r="E108" s="45"/>
      <c r="F108" s="48"/>
      <c r="H108" s="47"/>
      <c r="I108" s="47"/>
    </row>
    <row r="109" spans="1:26" x14ac:dyDescent="0.25">
      <c r="A109" s="171"/>
      <c r="C109" s="132" t="s">
        <v>80</v>
      </c>
      <c r="D109" s="25">
        <f>D108*3</f>
        <v>1680</v>
      </c>
      <c r="E109" s="45"/>
      <c r="F109" s="48"/>
      <c r="H109" s="47"/>
      <c r="I109" s="47"/>
    </row>
    <row r="110" spans="1:26" x14ac:dyDescent="0.25">
      <c r="A110" s="171"/>
      <c r="C110" s="133"/>
      <c r="D110" s="49"/>
      <c r="E110" s="45"/>
      <c r="F110" s="49"/>
      <c r="H110" s="47"/>
      <c r="I110" s="47"/>
    </row>
    <row r="111" spans="1:26" x14ac:dyDescent="0.25">
      <c r="A111" s="171"/>
      <c r="C111" s="134" t="s">
        <v>81</v>
      </c>
      <c r="D111" s="135">
        <f>D109</f>
        <v>1680</v>
      </c>
      <c r="E111" s="45"/>
      <c r="F111" s="45"/>
    </row>
    <row r="112" spans="1:26" x14ac:dyDescent="0.25">
      <c r="A112" s="171"/>
      <c r="C112" s="132"/>
      <c r="D112" s="49"/>
      <c r="E112" s="45"/>
      <c r="F112" s="45"/>
    </row>
    <row r="113" spans="1:22" x14ac:dyDescent="0.25">
      <c r="A113" s="171"/>
      <c r="C113" s="136" t="s">
        <v>75</v>
      </c>
      <c r="D113" s="103">
        <f>6410000/D98</f>
        <v>55875.174337517434</v>
      </c>
      <c r="E113" s="45"/>
      <c r="F113" s="45"/>
      <c r="G113" s="3"/>
    </row>
    <row r="114" spans="1:22" x14ac:dyDescent="0.25">
      <c r="A114" s="171"/>
      <c r="C114" s="136" t="s">
        <v>78</v>
      </c>
      <c r="D114" s="103">
        <f>D113/D111</f>
        <v>33.259032343760374</v>
      </c>
      <c r="E114" s="45"/>
      <c r="F114" s="93"/>
    </row>
    <row r="115" spans="1:22" ht="16.5" thickBot="1" x14ac:dyDescent="0.3">
      <c r="A115" s="171"/>
      <c r="C115" s="163" t="s">
        <v>57</v>
      </c>
      <c r="D115" s="164">
        <f>D111*D114*D98</f>
        <v>6409999.9999999991</v>
      </c>
      <c r="E115" s="97"/>
      <c r="F115" s="97"/>
    </row>
    <row r="116" spans="1:22" ht="15.75" thickTop="1" x14ac:dyDescent="0.25">
      <c r="A116" s="171"/>
      <c r="C116" s="98"/>
      <c r="D116" s="99"/>
      <c r="E116" s="45"/>
      <c r="F116" s="93"/>
    </row>
    <row r="117" spans="1:22" ht="19.5" customHeight="1" thickBot="1" x14ac:dyDescent="0.35">
      <c r="A117" s="171"/>
      <c r="C117" s="51" t="s">
        <v>73</v>
      </c>
      <c r="D117" s="52">
        <f>D55+D91+D95+D115</f>
        <v>18118612.279983331</v>
      </c>
      <c r="E117" s="52">
        <f>E67+E79</f>
        <v>9084</v>
      </c>
      <c r="F117" s="52">
        <f>F67+F79</f>
        <v>56280</v>
      </c>
    </row>
    <row r="118" spans="1:22" ht="17.25" customHeight="1" thickTop="1" x14ac:dyDescent="0.25">
      <c r="A118" s="171"/>
      <c r="C118" s="138" t="s">
        <v>117</v>
      </c>
      <c r="D118" s="139">
        <f>D35</f>
        <v>3.491666167974472E-3</v>
      </c>
      <c r="E118" s="140"/>
      <c r="F118" s="140"/>
    </row>
    <row r="119" spans="1:22" ht="18.75" customHeight="1" x14ac:dyDescent="0.25">
      <c r="A119" s="171"/>
    </row>
    <row r="120" spans="1:22" ht="18.75" customHeight="1" x14ac:dyDescent="0.25">
      <c r="A120" s="171"/>
    </row>
    <row r="121" spans="1:22" x14ac:dyDescent="0.25">
      <c r="A121" s="171"/>
    </row>
    <row r="122" spans="1:22" ht="20.25" thickBot="1" x14ac:dyDescent="0.35">
      <c r="A122" s="171">
        <v>14</v>
      </c>
      <c r="C122" s="51" t="s">
        <v>119</v>
      </c>
      <c r="D122" s="52"/>
      <c r="E122" s="77"/>
      <c r="F122" s="78"/>
      <c r="G122" s="78"/>
    </row>
    <row r="123" spans="1:22" ht="16.5" thickTop="1" x14ac:dyDescent="0.25">
      <c r="A123" s="171"/>
      <c r="C123" s="141" t="str">
        <f>C3</f>
        <v xml:space="preserve">Udgifter </v>
      </c>
      <c r="D123" s="151" t="str">
        <f>C34</f>
        <v>Samlet finansiering</v>
      </c>
      <c r="E123" s="145" t="s">
        <v>104</v>
      </c>
      <c r="F123" s="252" t="s">
        <v>87</v>
      </c>
      <c r="G123" s="252"/>
    </row>
    <row r="124" spans="1:22" s="1" customFormat="1" x14ac:dyDescent="0.25">
      <c r="A124" s="171"/>
      <c r="B124" s="143"/>
      <c r="C124" s="22" t="str">
        <f>C58</f>
        <v>”SKABELSEN AF DEN ENTREPRENØRIELLE SKOLE”</v>
      </c>
      <c r="D124" s="105"/>
      <c r="E124" s="142"/>
      <c r="F124" s="110"/>
      <c r="U124" s="50"/>
    </row>
    <row r="125" spans="1:22" ht="30" customHeight="1" x14ac:dyDescent="0.25">
      <c r="A125" s="171"/>
      <c r="C125" s="108" t="str">
        <f>C61</f>
        <v>Udarbejdelse af entreprenante forløbs-og undervisningsbeskrivelser</v>
      </c>
      <c r="D125" s="106">
        <f>D62</f>
        <v>160160</v>
      </c>
      <c r="E125" s="152">
        <f>D62/D34*100</f>
        <v>0.88044660879220571</v>
      </c>
      <c r="F125" s="250" t="s">
        <v>123</v>
      </c>
      <c r="G125" s="250"/>
      <c r="H125" s="16"/>
      <c r="V125" s="16"/>
    </row>
    <row r="126" spans="1:22" s="16" customFormat="1" ht="31.5" customHeight="1" x14ac:dyDescent="0.25">
      <c r="A126" s="171"/>
      <c r="B126" s="144"/>
      <c r="C126" s="108" t="str">
        <f>C63</f>
        <v>Udvikling af entreprenante caseforløb til undervisningen</v>
      </c>
      <c r="D126" s="106">
        <f>D64</f>
        <v>320320</v>
      </c>
      <c r="E126" s="152">
        <f>D64/D34*100</f>
        <v>1.7608932175844114</v>
      </c>
      <c r="F126" s="250" t="s">
        <v>121</v>
      </c>
      <c r="G126" s="250"/>
      <c r="H126"/>
      <c r="J126"/>
      <c r="K126"/>
      <c r="L126"/>
      <c r="M126"/>
      <c r="N126"/>
      <c r="O126"/>
      <c r="P126"/>
      <c r="Q126"/>
      <c r="R126"/>
      <c r="S126"/>
      <c r="T126"/>
      <c r="U126"/>
      <c r="V126"/>
    </row>
    <row r="127" spans="1:22" s="16" customFormat="1" ht="32.25" customHeight="1" x14ac:dyDescent="0.25">
      <c r="A127" s="171"/>
      <c r="B127" s="144"/>
      <c r="C127" s="108" t="str">
        <f>C65</f>
        <v>Vidensdeling på tværs af skolerne/uddannelserne</v>
      </c>
      <c r="D127" s="106">
        <f>D66</f>
        <v>51480</v>
      </c>
      <c r="E127" s="152">
        <f>D66/D34*100</f>
        <v>0.28300069568320896</v>
      </c>
      <c r="F127" s="250" t="s">
        <v>120</v>
      </c>
      <c r="G127" s="250"/>
      <c r="H127"/>
      <c r="U127"/>
      <c r="V127"/>
    </row>
    <row r="128" spans="1:22" x14ac:dyDescent="0.25">
      <c r="A128" s="171"/>
      <c r="C128" s="155" t="s">
        <v>11</v>
      </c>
      <c r="D128" s="156">
        <f>SUM(D125:D127)</f>
        <v>531960</v>
      </c>
      <c r="E128" s="152"/>
      <c r="F128" s="146"/>
      <c r="G128" s="217"/>
    </row>
    <row r="129" spans="1:22" x14ac:dyDescent="0.25">
      <c r="A129" s="171"/>
      <c r="C129" s="108"/>
      <c r="D129" s="106"/>
      <c r="E129" s="152"/>
      <c r="F129" s="146"/>
      <c r="G129" s="217"/>
    </row>
    <row r="130" spans="1:22" s="1" customFormat="1" x14ac:dyDescent="0.25">
      <c r="A130" s="171"/>
      <c r="B130" s="143"/>
      <c r="C130" s="107" t="str">
        <f>C70</f>
        <v>”UNDERVISNING I ENTREPRENØRSKAB”</v>
      </c>
      <c r="D130" s="105"/>
      <c r="E130" s="152"/>
      <c r="F130" s="147"/>
      <c r="G130" s="218"/>
    </row>
    <row r="131" spans="1:22" ht="42.75" customHeight="1" x14ac:dyDescent="0.25">
      <c r="A131" s="171"/>
      <c r="C131" s="108" t="str">
        <f>C72</f>
        <v>Supervision og feedback til undervisere om entreprenant undervisning</v>
      </c>
      <c r="D131" s="106">
        <f>D73</f>
        <v>1537536</v>
      </c>
      <c r="E131" s="152">
        <f>D73/D34*100</f>
        <v>8.4522874444051759</v>
      </c>
      <c r="F131" s="250" t="s">
        <v>142</v>
      </c>
      <c r="G131" s="250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</row>
    <row r="132" spans="1:22" ht="31.5" customHeight="1" x14ac:dyDescent="0.25">
      <c r="A132" s="171"/>
      <c r="C132" s="108" t="str">
        <f>C74</f>
        <v>”OctoSkills” - målingsværktøj af undervisningsformer og entreprenørielle færdigheder</v>
      </c>
      <c r="D132" s="106">
        <f>D75</f>
        <v>288288</v>
      </c>
      <c r="E132" s="152">
        <f>D75/D34*100</f>
        <v>1.5848038958259703</v>
      </c>
      <c r="F132" s="250" t="s">
        <v>143</v>
      </c>
      <c r="G132" s="250"/>
      <c r="H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V132" s="16"/>
    </row>
    <row r="133" spans="1:22" s="16" customFormat="1" ht="40.5" customHeight="1" x14ac:dyDescent="0.25">
      <c r="A133" s="171"/>
      <c r="B133" s="144"/>
      <c r="C133" s="108" t="str">
        <f>C76</f>
        <v>Hackathons/iværksætter crash-course</v>
      </c>
      <c r="D133" s="106">
        <f>D77+D78</f>
        <v>312395.72700000001</v>
      </c>
      <c r="E133" s="152">
        <f>(D77+D78)/D34*100</f>
        <v>1.7173311590804552</v>
      </c>
      <c r="F133" s="250" t="s">
        <v>124</v>
      </c>
      <c r="G133" s="250"/>
      <c r="H133"/>
      <c r="J133"/>
      <c r="K133"/>
      <c r="L133"/>
      <c r="M133"/>
      <c r="N133"/>
      <c r="O133"/>
      <c r="P133"/>
      <c r="Q133"/>
      <c r="R133"/>
      <c r="S133"/>
      <c r="T133"/>
      <c r="V133"/>
    </row>
    <row r="134" spans="1:22" s="1" customFormat="1" ht="15" customHeight="1" x14ac:dyDescent="0.25">
      <c r="A134" s="171"/>
      <c r="B134" s="143"/>
      <c r="C134" s="155" t="s">
        <v>11</v>
      </c>
      <c r="D134" s="156">
        <f>SUM(D131:D133)</f>
        <v>2138219.727</v>
      </c>
      <c r="E134" s="142"/>
      <c r="F134" s="147"/>
      <c r="G134" s="219"/>
      <c r="U134" s="50"/>
    </row>
    <row r="135" spans="1:22" s="1" customFormat="1" x14ac:dyDescent="0.25">
      <c r="A135" s="171"/>
      <c r="B135" s="143"/>
      <c r="C135" s="181" t="s">
        <v>101</v>
      </c>
      <c r="D135" s="182">
        <f>D128+D134</f>
        <v>2670179.727</v>
      </c>
      <c r="E135" s="153"/>
      <c r="F135" s="220"/>
      <c r="G135" s="220"/>
    </row>
    <row r="136" spans="1:22" x14ac:dyDescent="0.25">
      <c r="A136" s="171"/>
      <c r="C136" s="108"/>
      <c r="D136" s="106"/>
      <c r="E136" s="111"/>
      <c r="F136" s="146"/>
      <c r="G136" s="218"/>
    </row>
    <row r="137" spans="1:22" s="1" customFormat="1" x14ac:dyDescent="0.25">
      <c r="A137" s="171"/>
      <c r="B137" s="143"/>
      <c r="C137" s="107" t="s">
        <v>88</v>
      </c>
      <c r="D137" s="105"/>
      <c r="E137" s="142"/>
      <c r="F137" s="147"/>
      <c r="G137" s="218"/>
    </row>
    <row r="138" spans="1:22" ht="18" customHeight="1" x14ac:dyDescent="0.25">
      <c r="A138" s="171"/>
      <c r="C138" s="108" t="str">
        <f>C41</f>
        <v>Projektleder (36 mdr. deltidsstilling) - Tovholder</v>
      </c>
      <c r="D138" s="109">
        <f>D41</f>
        <v>761904</v>
      </c>
      <c r="E138" s="152">
        <f>D41/D34*100</f>
        <v>4.1884102961114928</v>
      </c>
      <c r="F138" s="146" t="s">
        <v>110</v>
      </c>
      <c r="G138" s="218"/>
    </row>
    <row r="139" spans="1:22" ht="42.75" customHeight="1" x14ac:dyDescent="0.25">
      <c r="A139" s="171"/>
      <c r="C139" s="108" t="str">
        <f>C42</f>
        <v xml:space="preserve">4 Iværksætterkoordinatorer (34 mdr. fuldtidsstilling) </v>
      </c>
      <c r="D139" s="109">
        <f>D42</f>
        <v>5461397.333333333</v>
      </c>
      <c r="E139" s="152">
        <f>D42/D34*100</f>
        <v>30.022906851898906</v>
      </c>
      <c r="F139" s="250" t="s">
        <v>132</v>
      </c>
      <c r="G139" s="250"/>
    </row>
    <row r="140" spans="1:22" ht="15.75" customHeight="1" x14ac:dyDescent="0.25">
      <c r="A140" s="171"/>
      <c r="C140" s="108" t="s">
        <v>114</v>
      </c>
      <c r="D140" s="109"/>
      <c r="E140" s="152"/>
      <c r="F140" s="146"/>
      <c r="G140" s="1"/>
    </row>
    <row r="141" spans="1:22" ht="15" customHeight="1" x14ac:dyDescent="0.25">
      <c r="A141" s="171"/>
      <c r="C141" s="108" t="str">
        <f t="shared" ref="C141:D144" si="3">C43</f>
        <v>Kvalitetsmedarbejder (10 timer/mdr. x 24mdr.) - Tovholder</v>
      </c>
      <c r="D141" s="109">
        <f t="shared" si="3"/>
        <v>68639.990000000005</v>
      </c>
      <c r="E141" s="152">
        <f>D43/D34*100</f>
        <v>0.37733420593800526</v>
      </c>
      <c r="F141" s="250" t="s">
        <v>108</v>
      </c>
      <c r="G141" s="250"/>
    </row>
    <row r="142" spans="1:22" ht="15" customHeight="1" x14ac:dyDescent="0.25">
      <c r="A142" s="171"/>
      <c r="C142" s="108" t="str">
        <f t="shared" si="3"/>
        <v>It-medarbejder til introduktion til wixsite.com - Tovholder</v>
      </c>
      <c r="D142" s="109">
        <f t="shared" si="3"/>
        <v>7721.99</v>
      </c>
      <c r="E142" s="152">
        <f>D44/D34*100</f>
        <v>4.2450049379541235E-2</v>
      </c>
      <c r="F142" s="256" t="s">
        <v>107</v>
      </c>
      <c r="G142" s="256"/>
    </row>
    <row r="143" spans="1:22" x14ac:dyDescent="0.25">
      <c r="A143" s="171"/>
      <c r="C143" s="108" t="str">
        <f t="shared" si="3"/>
        <v>Administrativ controller (40 timer/mdr. x 36 mdr.) - Tovholder</v>
      </c>
      <c r="D143" s="109">
        <f t="shared" si="3"/>
        <v>360000</v>
      </c>
      <c r="E143" s="152">
        <f>D45/D34*100</f>
        <v>1.9790258439385244</v>
      </c>
      <c r="F143" s="146" t="s">
        <v>109</v>
      </c>
      <c r="G143" s="1"/>
    </row>
    <row r="144" spans="1:22" ht="16.5" customHeight="1" x14ac:dyDescent="0.25">
      <c r="A144" s="171"/>
      <c r="C144" s="108" t="str">
        <f t="shared" si="3"/>
        <v>Administrativt personale til partnerskolerne (over 34 mdr.)</v>
      </c>
      <c r="D144" s="109">
        <f t="shared" si="3"/>
        <v>340000</v>
      </c>
      <c r="E144" s="152">
        <f>D46/D34*100</f>
        <v>1.8690799637197175</v>
      </c>
      <c r="F144" s="146" t="s">
        <v>109</v>
      </c>
    </row>
    <row r="145" spans="1:7" ht="15" customHeight="1" x14ac:dyDescent="0.25">
      <c r="A145" s="171"/>
      <c r="C145" s="108" t="str">
        <f>C52</f>
        <v xml:space="preserve">Styregruppens projektdeltagelse </v>
      </c>
      <c r="D145" s="109">
        <f>D52</f>
        <v>87360</v>
      </c>
      <c r="E145" s="152">
        <f>D52/D34*100</f>
        <v>0.48024360479574857</v>
      </c>
      <c r="F145" s="250" t="s">
        <v>111</v>
      </c>
      <c r="G145" s="250"/>
    </row>
    <row r="146" spans="1:7" x14ac:dyDescent="0.25">
      <c r="A146" s="171"/>
      <c r="C146" s="108" t="str">
        <f>C81</f>
        <v>Deloitte revision - 2017 priser eksl. moms</v>
      </c>
      <c r="D146" s="106">
        <f>D91</f>
        <v>226498.66050000003</v>
      </c>
      <c r="E146" s="152">
        <f>D91/D34*100</f>
        <v>1.2451297298526609</v>
      </c>
      <c r="F146" s="146" t="s">
        <v>112</v>
      </c>
    </row>
    <row r="147" spans="1:7" ht="15" customHeight="1" x14ac:dyDescent="0.25">
      <c r="A147" s="171"/>
      <c r="C147" s="108" t="s">
        <v>43</v>
      </c>
      <c r="D147" s="106">
        <f>D95</f>
        <v>1797066.3061499996</v>
      </c>
      <c r="E147" s="152">
        <f>D95/D34*100</f>
        <v>9.879001842061081</v>
      </c>
      <c r="F147" s="146" t="s">
        <v>113</v>
      </c>
    </row>
    <row r="148" spans="1:7" s="1" customFormat="1" x14ac:dyDescent="0.25">
      <c r="A148" s="171"/>
      <c r="B148" s="143"/>
      <c r="C148" s="181" t="s">
        <v>89</v>
      </c>
      <c r="D148" s="182">
        <f>SUM(D138:D147)</f>
        <v>9110588.2799833342</v>
      </c>
      <c r="E148" s="153"/>
      <c r="F148" s="153"/>
      <c r="G148" s="153"/>
    </row>
    <row r="149" spans="1:7" x14ac:dyDescent="0.25">
      <c r="A149" s="171"/>
      <c r="C149" s="21"/>
      <c r="E149" s="154"/>
      <c r="F149" s="104"/>
    </row>
    <row r="150" spans="1:7" x14ac:dyDescent="0.25">
      <c r="A150" s="171"/>
      <c r="C150" s="2" t="s">
        <v>90</v>
      </c>
      <c r="D150" s="24">
        <f>D13</f>
        <v>6409999.9999999991</v>
      </c>
      <c r="E150" s="154">
        <f>D115/D34*100</f>
        <v>35.237654610127613</v>
      </c>
      <c r="F150" s="104"/>
    </row>
    <row r="151" spans="1:7" x14ac:dyDescent="0.25">
      <c r="A151" s="171"/>
    </row>
    <row r="152" spans="1:7" x14ac:dyDescent="0.25">
      <c r="A152" s="171"/>
      <c r="C152" s="157" t="str">
        <f>C15</f>
        <v>Samlede udgifter</v>
      </c>
      <c r="D152" s="158">
        <f>D135+D148+D150</f>
        <v>18190768.006983332</v>
      </c>
      <c r="E152" s="153"/>
      <c r="F152" s="153"/>
      <c r="G152" s="153"/>
    </row>
    <row r="153" spans="1:7" x14ac:dyDescent="0.25">
      <c r="A153" s="171"/>
      <c r="F153" s="29"/>
    </row>
    <row r="154" spans="1:7" x14ac:dyDescent="0.25">
      <c r="A154" s="171"/>
      <c r="C154" s="157" t="str">
        <f>C18</f>
        <v>Finansiering</v>
      </c>
      <c r="D154" s="62"/>
      <c r="E154" s="62"/>
      <c r="F154" s="62"/>
      <c r="G154" s="62"/>
    </row>
    <row r="155" spans="1:7" x14ac:dyDescent="0.25">
      <c r="A155" s="171"/>
      <c r="C155" s="56" t="str">
        <f>C20</f>
        <v>EU.medfinansiering (EFS støtte)</v>
      </c>
      <c r="D155" s="57">
        <f>D20</f>
        <v>9095384.0034916662</v>
      </c>
      <c r="F155" s="56"/>
    </row>
    <row r="156" spans="1:7" x14ac:dyDescent="0.25">
      <c r="A156" s="171"/>
      <c r="C156" s="56" t="str">
        <f>C21</f>
        <v>Deltagerfinansiering</v>
      </c>
      <c r="D156" s="57">
        <f>D22</f>
        <v>6409999.9999999991</v>
      </c>
      <c r="F156" s="56"/>
    </row>
    <row r="157" spans="1:7" x14ac:dyDescent="0.25">
      <c r="A157" s="171"/>
      <c r="C157" s="56" t="str">
        <f>C32</f>
        <v>Offentlig lignende egenfinansiering</v>
      </c>
      <c r="D157" s="57">
        <f>D32</f>
        <v>2685384</v>
      </c>
      <c r="F157" s="56"/>
    </row>
    <row r="158" spans="1:7" ht="26.25" customHeight="1" thickBot="1" x14ac:dyDescent="0.35">
      <c r="A158" s="171"/>
      <c r="C158" s="51" t="str">
        <f>C34</f>
        <v>Samlet finansiering</v>
      </c>
      <c r="D158" s="52">
        <f>SUM(D155:D157)</f>
        <v>18190768.003491666</v>
      </c>
      <c r="E158" s="53">
        <f>SUM(E125:E151)</f>
        <v>100.00000001919472</v>
      </c>
      <c r="F158" s="53"/>
      <c r="G158" s="53"/>
    </row>
    <row r="159" spans="1:7" ht="15.75" thickTop="1" x14ac:dyDescent="0.25">
      <c r="A159" s="171"/>
      <c r="C159" s="66"/>
      <c r="D159" s="67"/>
      <c r="E159" s="159"/>
      <c r="F159" s="159"/>
      <c r="G159" s="159"/>
    </row>
    <row r="160" spans="1:7" x14ac:dyDescent="0.25">
      <c r="A160" s="171"/>
      <c r="C160" s="160"/>
      <c r="D160" s="161"/>
      <c r="E160" s="162"/>
      <c r="F160" s="29"/>
    </row>
    <row r="161" spans="1:12" x14ac:dyDescent="0.25">
      <c r="A161" s="171"/>
      <c r="C161" s="160"/>
      <c r="D161" s="161"/>
      <c r="E161" s="162"/>
      <c r="F161" s="29"/>
    </row>
    <row r="162" spans="1:12" x14ac:dyDescent="0.25">
      <c r="A162" s="171"/>
      <c r="F162" s="29"/>
    </row>
    <row r="163" spans="1:12" ht="21.75" thickBot="1" x14ac:dyDescent="0.4">
      <c r="A163" s="171">
        <v>15</v>
      </c>
      <c r="C163" s="221" t="s">
        <v>156</v>
      </c>
      <c r="D163" s="51"/>
      <c r="E163" s="51"/>
      <c r="F163" s="51"/>
      <c r="G163" s="51"/>
      <c r="H163" s="51"/>
      <c r="I163" s="51"/>
      <c r="J163" s="51"/>
      <c r="K163" s="51"/>
      <c r="L163" s="51"/>
    </row>
    <row r="164" spans="1:12" s="224" customFormat="1" ht="41.25" customHeight="1" thickTop="1" thickBot="1" x14ac:dyDescent="0.35">
      <c r="A164" s="222"/>
      <c r="B164" s="223"/>
      <c r="C164" s="51"/>
      <c r="D164" s="51"/>
      <c r="E164" s="51"/>
      <c r="F164" s="225" t="str">
        <f>C101</f>
        <v>1. EUC Nordvest</v>
      </c>
      <c r="G164" s="225" t="str">
        <f>C102</f>
        <v xml:space="preserve">2. Erhvervsskolerne Aars </v>
      </c>
      <c r="H164" s="226" t="str">
        <f>C103</f>
        <v>3. Aalborg Handelsskole</v>
      </c>
      <c r="I164" s="225" t="str">
        <f>C104</f>
        <v xml:space="preserve">4. HF&amp;VUC Thy-Mors </v>
      </c>
      <c r="J164" s="226" t="str">
        <f>C105</f>
        <v>5. Hjørring Gymnasium og HF-kursus</v>
      </c>
      <c r="K164" s="236" t="str">
        <f>C106</f>
        <v xml:space="preserve">6. Hasseris Gymnasium </v>
      </c>
      <c r="L164" s="236" t="str">
        <f>C107</f>
        <v xml:space="preserve">7. Aalborghus Gymnasium </v>
      </c>
    </row>
    <row r="165" spans="1:12" ht="16.5" customHeight="1" thickTop="1" x14ac:dyDescent="0.25">
      <c r="A165" s="171"/>
      <c r="C165" s="231" t="str">
        <f>C125</f>
        <v>Udarbejdelse af entreprenante forløbs-og undervisningsbeskrivelser</v>
      </c>
      <c r="D165" s="139" t="s">
        <v>91</v>
      </c>
      <c r="E165" s="232">
        <f>D125</f>
        <v>160160</v>
      </c>
      <c r="F165" s="43">
        <f>E165/7</f>
        <v>22880</v>
      </c>
      <c r="G165" s="227">
        <f>E165/7</f>
        <v>22880</v>
      </c>
      <c r="H165" s="227">
        <f>E165/7</f>
        <v>22880</v>
      </c>
      <c r="I165" s="227">
        <f>E165/7</f>
        <v>22880</v>
      </c>
      <c r="J165" s="227">
        <f>E165/7</f>
        <v>22880</v>
      </c>
      <c r="K165" s="227">
        <f>E165/7</f>
        <v>22880</v>
      </c>
      <c r="L165" s="227">
        <f>E165/7</f>
        <v>22880</v>
      </c>
    </row>
    <row r="166" spans="1:12" x14ac:dyDescent="0.25">
      <c r="A166" s="171"/>
      <c r="C166" s="231" t="str">
        <f>C126</f>
        <v>Udvikling af entreprenante caseforløb til undervisningen</v>
      </c>
      <c r="D166" s="139" t="s">
        <v>92</v>
      </c>
      <c r="E166" s="232">
        <f>D126</f>
        <v>320320</v>
      </c>
      <c r="F166" s="43">
        <f>E166/7</f>
        <v>45760</v>
      </c>
      <c r="G166" s="227">
        <f>E166/7</f>
        <v>45760</v>
      </c>
      <c r="H166" s="227">
        <f>E166/7</f>
        <v>45760</v>
      </c>
      <c r="I166" s="227">
        <f>E166/7</f>
        <v>45760</v>
      </c>
      <c r="J166" s="227">
        <f>E166/7</f>
        <v>45760</v>
      </c>
      <c r="K166" s="227">
        <f>E166/7</f>
        <v>45760</v>
      </c>
      <c r="L166" s="227">
        <f>E166/7</f>
        <v>45760</v>
      </c>
    </row>
    <row r="167" spans="1:12" x14ac:dyDescent="0.25">
      <c r="A167" s="171"/>
      <c r="C167" s="231" t="str">
        <f>C127</f>
        <v>Vidensdeling på tværs af skolerne/uddannelserne</v>
      </c>
      <c r="D167" s="139" t="s">
        <v>93</v>
      </c>
      <c r="E167" s="232">
        <f>D127</f>
        <v>51480</v>
      </c>
      <c r="F167" s="43">
        <f>E167/7</f>
        <v>7354.2857142857147</v>
      </c>
      <c r="G167" s="227">
        <f t="shared" ref="G167:G183" si="4">E167/7</f>
        <v>7354.2857142857147</v>
      </c>
      <c r="H167" s="227">
        <f t="shared" ref="H167:H183" si="5">E167/7</f>
        <v>7354.2857142857147</v>
      </c>
      <c r="I167" s="227">
        <f t="shared" ref="I167:I183" si="6">E167/7</f>
        <v>7354.2857142857147</v>
      </c>
      <c r="J167" s="227">
        <f t="shared" ref="J167:J183" si="7">E167/7</f>
        <v>7354.2857142857147</v>
      </c>
      <c r="K167" s="227">
        <f t="shared" ref="K167:K183" si="8">E167/7</f>
        <v>7354.2857142857147</v>
      </c>
      <c r="L167" s="227">
        <f t="shared" ref="L167:L183" si="9">E167/7</f>
        <v>7354.2857142857147</v>
      </c>
    </row>
    <row r="168" spans="1:12" x14ac:dyDescent="0.25">
      <c r="A168" s="171"/>
      <c r="C168" s="231" t="str">
        <f>C131</f>
        <v>Supervision og feedback til undervisere om entreprenant undervisning</v>
      </c>
      <c r="D168" s="139" t="s">
        <v>94</v>
      </c>
      <c r="E168" s="232">
        <f>D131</f>
        <v>1537536</v>
      </c>
      <c r="F168" s="43">
        <f>E168/7</f>
        <v>219648</v>
      </c>
      <c r="G168" s="227">
        <f t="shared" si="4"/>
        <v>219648</v>
      </c>
      <c r="H168" s="227">
        <f t="shared" si="5"/>
        <v>219648</v>
      </c>
      <c r="I168" s="227">
        <f t="shared" si="6"/>
        <v>219648</v>
      </c>
      <c r="J168" s="227">
        <f t="shared" si="7"/>
        <v>219648</v>
      </c>
      <c r="K168" s="227">
        <f t="shared" si="8"/>
        <v>219648</v>
      </c>
      <c r="L168" s="227">
        <f t="shared" si="9"/>
        <v>219648</v>
      </c>
    </row>
    <row r="169" spans="1:12" ht="29.25" customHeight="1" x14ac:dyDescent="0.25">
      <c r="A169" s="171"/>
      <c r="C169" s="231" t="str">
        <f>C132</f>
        <v>”OctoSkills” - målingsværktøj af undervisningsformer og entreprenørielle færdigheder</v>
      </c>
      <c r="D169" s="139" t="s">
        <v>95</v>
      </c>
      <c r="E169" s="232">
        <f>D132</f>
        <v>288288</v>
      </c>
      <c r="F169" s="43">
        <f t="shared" ref="F169:F183" si="10">E169/7</f>
        <v>41184</v>
      </c>
      <c r="G169" s="227">
        <f t="shared" si="4"/>
        <v>41184</v>
      </c>
      <c r="H169" s="227">
        <f t="shared" si="5"/>
        <v>41184</v>
      </c>
      <c r="I169" s="227">
        <f t="shared" si="6"/>
        <v>41184</v>
      </c>
      <c r="J169" s="227">
        <f t="shared" si="7"/>
        <v>41184</v>
      </c>
      <c r="K169" s="227">
        <f t="shared" si="8"/>
        <v>41184</v>
      </c>
      <c r="L169" s="227">
        <f t="shared" si="9"/>
        <v>41184</v>
      </c>
    </row>
    <row r="170" spans="1:12" ht="15.75" customHeight="1" x14ac:dyDescent="0.25">
      <c r="A170" s="171"/>
      <c r="C170" s="231" t="str">
        <f>C133</f>
        <v>Hackathons/iværksætter crash-course</v>
      </c>
      <c r="D170" s="139" t="s">
        <v>96</v>
      </c>
      <c r="E170" s="232">
        <f>D77</f>
        <v>240240</v>
      </c>
      <c r="F170" s="43">
        <f t="shared" si="10"/>
        <v>34320</v>
      </c>
      <c r="G170" s="227">
        <f t="shared" si="4"/>
        <v>34320</v>
      </c>
      <c r="H170" s="227">
        <f t="shared" si="5"/>
        <v>34320</v>
      </c>
      <c r="I170" s="227">
        <f t="shared" si="6"/>
        <v>34320</v>
      </c>
      <c r="J170" s="227">
        <f t="shared" si="7"/>
        <v>34320</v>
      </c>
      <c r="K170" s="227">
        <f t="shared" si="8"/>
        <v>34320</v>
      </c>
      <c r="L170" s="227">
        <f t="shared" si="9"/>
        <v>34320</v>
      </c>
    </row>
    <row r="171" spans="1:12" ht="15.75" customHeight="1" x14ac:dyDescent="0.25">
      <c r="A171" s="171"/>
      <c r="C171" s="231"/>
      <c r="D171" s="139" t="s">
        <v>146</v>
      </c>
      <c r="E171" s="232">
        <f>D145</f>
        <v>87360</v>
      </c>
      <c r="F171" s="43">
        <f>E171/7</f>
        <v>12480</v>
      </c>
      <c r="G171" s="227">
        <f>E171/7</f>
        <v>12480</v>
      </c>
      <c r="H171" s="227">
        <f>E171/7</f>
        <v>12480</v>
      </c>
      <c r="I171" s="227">
        <f>E171/7</f>
        <v>12480</v>
      </c>
      <c r="J171" s="227">
        <f>E171/7</f>
        <v>12480</v>
      </c>
      <c r="K171" s="227">
        <f>E171/7</f>
        <v>12480</v>
      </c>
      <c r="L171" s="227">
        <f>E171/7</f>
        <v>12480</v>
      </c>
    </row>
    <row r="172" spans="1:12" s="21" customFormat="1" ht="39.75" customHeight="1" thickBot="1" x14ac:dyDescent="0.3">
      <c r="A172" s="174"/>
      <c r="B172" s="228"/>
      <c r="C172" s="253" t="s">
        <v>154</v>
      </c>
      <c r="D172" s="253"/>
      <c r="E172" s="254">
        <f>SUM(E165:E171)</f>
        <v>2685384</v>
      </c>
      <c r="F172" s="255">
        <f>E172/7</f>
        <v>383626.28571428574</v>
      </c>
      <c r="G172" s="255">
        <f>E172/7</f>
        <v>383626.28571428574</v>
      </c>
      <c r="H172" s="255">
        <f>E172/7</f>
        <v>383626.28571428574</v>
      </c>
      <c r="I172" s="255">
        <f>E172/7</f>
        <v>383626.28571428574</v>
      </c>
      <c r="J172" s="255">
        <f>E172/7</f>
        <v>383626.28571428574</v>
      </c>
      <c r="K172" s="255">
        <f>E172/7</f>
        <v>383626.28571428574</v>
      </c>
      <c r="L172" s="255">
        <f>E172/7</f>
        <v>383626.28571428574</v>
      </c>
    </row>
    <row r="173" spans="1:12" ht="42" customHeight="1" thickBot="1" x14ac:dyDescent="0.3">
      <c r="A173" s="174"/>
      <c r="C173" s="253" t="s">
        <v>155</v>
      </c>
      <c r="D173" s="253"/>
      <c r="E173" s="254">
        <f>D115</f>
        <v>6409999.9999999991</v>
      </c>
      <c r="F173" s="255">
        <f>E173/7</f>
        <v>915714.28571428556</v>
      </c>
      <c r="G173" s="255">
        <f>E173/7</f>
        <v>915714.28571428556</v>
      </c>
      <c r="H173" s="255">
        <f>E173/7</f>
        <v>915714.28571428556</v>
      </c>
      <c r="I173" s="255">
        <f>E173/7</f>
        <v>915714.28571428556</v>
      </c>
      <c r="J173" s="255">
        <f>E173/7</f>
        <v>915714.28571428556</v>
      </c>
      <c r="K173" s="255">
        <f>E173/7</f>
        <v>915714.28571428556</v>
      </c>
      <c r="L173" s="255">
        <f>E173/7</f>
        <v>915714.28571428556</v>
      </c>
    </row>
    <row r="174" spans="1:12" ht="42" customHeight="1" thickBot="1" x14ac:dyDescent="0.3">
      <c r="A174" s="174"/>
      <c r="C174" s="249" t="s">
        <v>158</v>
      </c>
      <c r="D174" s="249"/>
      <c r="E174" s="237">
        <f>SUM(F174:L174)</f>
        <v>9095383.9999999981</v>
      </c>
      <c r="F174" s="238">
        <f>F172+F173</f>
        <v>1299340.5714285714</v>
      </c>
      <c r="G174" s="238">
        <f t="shared" ref="G174:L174" si="11">G172+G173</f>
        <v>1299340.5714285714</v>
      </c>
      <c r="H174" s="238">
        <f t="shared" si="11"/>
        <v>1299340.5714285714</v>
      </c>
      <c r="I174" s="238">
        <f t="shared" si="11"/>
        <v>1299340.5714285714</v>
      </c>
      <c r="J174" s="238">
        <f t="shared" si="11"/>
        <v>1299340.5714285714</v>
      </c>
      <c r="K174" s="238">
        <f t="shared" si="11"/>
        <v>1299340.5714285714</v>
      </c>
      <c r="L174" s="238">
        <f t="shared" si="11"/>
        <v>1299340.5714285714</v>
      </c>
    </row>
    <row r="175" spans="1:12" ht="15" customHeight="1" x14ac:dyDescent="0.25">
      <c r="A175" s="171"/>
      <c r="C175" s="138"/>
      <c r="D175" s="139" t="s">
        <v>110</v>
      </c>
      <c r="E175" s="232">
        <f>D138</f>
        <v>761904</v>
      </c>
      <c r="F175" s="43">
        <f>E175/7</f>
        <v>108843.42857142857</v>
      </c>
      <c r="G175" s="227">
        <f t="shared" si="4"/>
        <v>108843.42857142857</v>
      </c>
      <c r="H175" s="227">
        <f t="shared" si="5"/>
        <v>108843.42857142857</v>
      </c>
      <c r="I175" s="227">
        <f t="shared" si="6"/>
        <v>108843.42857142857</v>
      </c>
      <c r="J175" s="227">
        <f t="shared" si="7"/>
        <v>108843.42857142857</v>
      </c>
      <c r="K175" s="227">
        <f t="shared" si="8"/>
        <v>108843.42857142857</v>
      </c>
      <c r="L175" s="227">
        <f t="shared" si="9"/>
        <v>108843.42857142857</v>
      </c>
    </row>
    <row r="176" spans="1:12" x14ac:dyDescent="0.25">
      <c r="A176" s="171"/>
      <c r="C176" s="138"/>
      <c r="D176" s="233" t="s">
        <v>102</v>
      </c>
      <c r="E176" s="232">
        <f>D139</f>
        <v>5461397.333333333</v>
      </c>
      <c r="F176" s="43">
        <f t="shared" si="10"/>
        <v>780199.61904761905</v>
      </c>
      <c r="G176" s="227">
        <f t="shared" si="4"/>
        <v>780199.61904761905</v>
      </c>
      <c r="H176" s="227">
        <f t="shared" si="5"/>
        <v>780199.61904761905</v>
      </c>
      <c r="I176" s="227">
        <f t="shared" si="6"/>
        <v>780199.61904761905</v>
      </c>
      <c r="J176" s="227">
        <f t="shared" si="7"/>
        <v>780199.61904761905</v>
      </c>
      <c r="K176" s="227">
        <f t="shared" si="8"/>
        <v>780199.61904761905</v>
      </c>
      <c r="L176" s="227">
        <f t="shared" si="9"/>
        <v>780199.61904761905</v>
      </c>
    </row>
    <row r="177" spans="1:12" x14ac:dyDescent="0.25">
      <c r="A177" s="171"/>
      <c r="C177" s="138"/>
      <c r="D177" s="139" t="s">
        <v>103</v>
      </c>
      <c r="E177" s="232">
        <f>D142</f>
        <v>7721.99</v>
      </c>
      <c r="F177" s="43">
        <f t="shared" si="10"/>
        <v>1103.1414285714286</v>
      </c>
      <c r="G177" s="227">
        <f t="shared" si="4"/>
        <v>1103.1414285714286</v>
      </c>
      <c r="H177" s="227">
        <f t="shared" si="5"/>
        <v>1103.1414285714286</v>
      </c>
      <c r="I177" s="227">
        <f t="shared" si="6"/>
        <v>1103.1414285714286</v>
      </c>
      <c r="J177" s="227">
        <f t="shared" si="7"/>
        <v>1103.1414285714286</v>
      </c>
      <c r="K177" s="227">
        <f t="shared" si="8"/>
        <v>1103.1414285714286</v>
      </c>
      <c r="L177" s="227">
        <f t="shared" si="9"/>
        <v>1103.1414285714286</v>
      </c>
    </row>
    <row r="178" spans="1:12" x14ac:dyDescent="0.25">
      <c r="A178" s="171"/>
      <c r="C178" s="138"/>
      <c r="D178" s="139" t="s">
        <v>97</v>
      </c>
      <c r="E178" s="232">
        <f>D141+D146</f>
        <v>295138.65050000005</v>
      </c>
      <c r="F178" s="43">
        <f t="shared" si="10"/>
        <v>42162.664357142865</v>
      </c>
      <c r="G178" s="227">
        <f t="shared" si="4"/>
        <v>42162.664357142865</v>
      </c>
      <c r="H178" s="227">
        <f t="shared" si="5"/>
        <v>42162.664357142865</v>
      </c>
      <c r="I178" s="227">
        <f t="shared" si="6"/>
        <v>42162.664357142865</v>
      </c>
      <c r="J178" s="227">
        <f t="shared" si="7"/>
        <v>42162.664357142865</v>
      </c>
      <c r="K178" s="227">
        <f t="shared" si="8"/>
        <v>42162.664357142865</v>
      </c>
      <c r="L178" s="227">
        <f t="shared" si="9"/>
        <v>42162.664357142865</v>
      </c>
    </row>
    <row r="179" spans="1:12" x14ac:dyDescent="0.25">
      <c r="A179" s="171"/>
      <c r="C179" s="138"/>
      <c r="D179" s="139" t="s">
        <v>98</v>
      </c>
      <c r="E179" s="232">
        <f>D143+D144</f>
        <v>700000</v>
      </c>
      <c r="F179" s="43">
        <f t="shared" si="10"/>
        <v>100000</v>
      </c>
      <c r="G179" s="227">
        <f t="shared" si="4"/>
        <v>100000</v>
      </c>
      <c r="H179" s="227">
        <f t="shared" si="5"/>
        <v>100000</v>
      </c>
      <c r="I179" s="227">
        <f t="shared" si="6"/>
        <v>100000</v>
      </c>
      <c r="J179" s="227">
        <f t="shared" si="7"/>
        <v>100000</v>
      </c>
      <c r="K179" s="227">
        <f t="shared" si="8"/>
        <v>100000</v>
      </c>
      <c r="L179" s="227">
        <f t="shared" si="9"/>
        <v>100000</v>
      </c>
    </row>
    <row r="180" spans="1:12" ht="15.75" customHeight="1" x14ac:dyDescent="0.25">
      <c r="A180" s="171"/>
      <c r="C180" s="231"/>
      <c r="D180" s="139" t="s">
        <v>145</v>
      </c>
      <c r="E180" s="232">
        <f>D78</f>
        <v>72155.726999999999</v>
      </c>
      <c r="F180" s="43">
        <f t="shared" si="10"/>
        <v>10307.960999999999</v>
      </c>
      <c r="G180" s="227">
        <f t="shared" si="4"/>
        <v>10307.960999999999</v>
      </c>
      <c r="H180" s="227">
        <f t="shared" si="5"/>
        <v>10307.960999999999</v>
      </c>
      <c r="I180" s="227">
        <f t="shared" si="6"/>
        <v>10307.960999999999</v>
      </c>
      <c r="J180" s="227">
        <f t="shared" si="7"/>
        <v>10307.960999999999</v>
      </c>
      <c r="K180" s="227">
        <f t="shared" si="8"/>
        <v>10307.960999999999</v>
      </c>
      <c r="L180" s="227">
        <f t="shared" si="9"/>
        <v>10307.960999999999</v>
      </c>
    </row>
    <row r="181" spans="1:12" x14ac:dyDescent="0.25">
      <c r="A181" s="171"/>
      <c r="C181" s="138"/>
      <c r="D181" s="139" t="s">
        <v>99</v>
      </c>
      <c r="E181" s="232">
        <f>D147</f>
        <v>1797066.3061499996</v>
      </c>
      <c r="F181" s="43">
        <f t="shared" si="10"/>
        <v>256723.75802142851</v>
      </c>
      <c r="G181" s="227">
        <f t="shared" si="4"/>
        <v>256723.75802142851</v>
      </c>
      <c r="H181" s="227">
        <f t="shared" si="5"/>
        <v>256723.75802142851</v>
      </c>
      <c r="I181" s="227">
        <f t="shared" si="6"/>
        <v>256723.75802142851</v>
      </c>
      <c r="J181" s="227">
        <f t="shared" si="7"/>
        <v>256723.75802142851</v>
      </c>
      <c r="K181" s="227">
        <f t="shared" si="8"/>
        <v>256723.75802142851</v>
      </c>
      <c r="L181" s="227">
        <f t="shared" si="9"/>
        <v>256723.75802142851</v>
      </c>
    </row>
    <row r="182" spans="1:12" ht="33" customHeight="1" thickBot="1" x14ac:dyDescent="0.3">
      <c r="A182" s="171"/>
      <c r="C182" s="239" t="s">
        <v>159</v>
      </c>
      <c r="D182" s="240"/>
      <c r="E182" s="241">
        <f>SUM(E175:E181)</f>
        <v>9095384.0069833323</v>
      </c>
      <c r="F182" s="238">
        <f t="shared" si="10"/>
        <v>1299340.5724261904</v>
      </c>
      <c r="G182" s="238">
        <f t="shared" si="4"/>
        <v>1299340.5724261904</v>
      </c>
      <c r="H182" s="238">
        <f t="shared" si="5"/>
        <v>1299340.5724261904</v>
      </c>
      <c r="I182" s="238">
        <f t="shared" si="6"/>
        <v>1299340.5724261904</v>
      </c>
      <c r="J182" s="238">
        <f t="shared" si="7"/>
        <v>1299340.5724261904</v>
      </c>
      <c r="K182" s="238">
        <f t="shared" si="8"/>
        <v>1299340.5724261904</v>
      </c>
      <c r="L182" s="238">
        <f t="shared" si="9"/>
        <v>1299340.5724261904</v>
      </c>
    </row>
    <row r="183" spans="1:12" s="1" customFormat="1" ht="20.25" thickBot="1" x14ac:dyDescent="0.35">
      <c r="A183" s="171"/>
      <c r="B183" s="143"/>
      <c r="C183" s="234"/>
      <c r="D183" s="234" t="s">
        <v>11</v>
      </c>
      <c r="E183" s="235">
        <f>E174+E182</f>
        <v>18190768.006983332</v>
      </c>
      <c r="F183" s="229">
        <f t="shared" si="10"/>
        <v>2598681.143854762</v>
      </c>
      <c r="G183" s="230">
        <f t="shared" si="4"/>
        <v>2598681.143854762</v>
      </c>
      <c r="H183" s="230">
        <f t="shared" si="5"/>
        <v>2598681.143854762</v>
      </c>
      <c r="I183" s="230">
        <f t="shared" si="6"/>
        <v>2598681.143854762</v>
      </c>
      <c r="J183" s="230">
        <f t="shared" si="7"/>
        <v>2598681.143854762</v>
      </c>
      <c r="K183" s="230">
        <f t="shared" si="8"/>
        <v>2598681.143854762</v>
      </c>
      <c r="L183" s="230">
        <f t="shared" si="9"/>
        <v>2598681.143854762</v>
      </c>
    </row>
    <row r="184" spans="1:12" ht="15.75" thickTop="1" x14ac:dyDescent="0.25">
      <c r="A184" s="171"/>
      <c r="C184" s="66"/>
      <c r="D184" s="67"/>
      <c r="E184" s="159"/>
      <c r="F184" s="159"/>
      <c r="G184" s="159"/>
      <c r="H184" s="159"/>
      <c r="I184" s="159"/>
      <c r="J184" s="159"/>
      <c r="K184" s="159"/>
      <c r="L184" s="159"/>
    </row>
    <row r="185" spans="1:12" x14ac:dyDescent="0.25">
      <c r="F185" s="29"/>
    </row>
  </sheetData>
  <mergeCells count="14">
    <mergeCell ref="D60:F60"/>
    <mergeCell ref="F123:G123"/>
    <mergeCell ref="F125:G125"/>
    <mergeCell ref="F126:G126"/>
    <mergeCell ref="F127:G127"/>
    <mergeCell ref="C173:D173"/>
    <mergeCell ref="F131:G131"/>
    <mergeCell ref="F132:G132"/>
    <mergeCell ref="F133:G133"/>
    <mergeCell ref="F139:G139"/>
    <mergeCell ref="C172:D172"/>
    <mergeCell ref="F141:G141"/>
    <mergeCell ref="F142:G142"/>
    <mergeCell ref="F145:G145"/>
  </mergeCells>
  <hyperlinks>
    <hyperlink ref="C1" r:id="rId1"/>
  </hyperlinks>
  <pageMargins left="0.11811023622047245" right="0.19685039370078741" top="0.74803149606299213" bottom="0.74803149606299213" header="0.31496062992125984" footer="0.11811023622047245"/>
  <pageSetup paperSize="8" scale="70" fitToHeight="5" orientation="portrait"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>
      <selection activeCell="C30" sqref="C30"/>
    </sheetView>
  </sheetViews>
  <sheetFormatPr defaultColWidth="9.140625" defaultRowHeight="15" customHeight="1" x14ac:dyDescent="0.25"/>
  <cols>
    <col min="1" max="1" width="9.140625" style="8"/>
    <col min="2" max="2" width="22.5703125" style="8" customWidth="1"/>
    <col min="3" max="3" width="68.7109375" style="8" customWidth="1"/>
    <col min="4" max="4" width="15.28515625" style="8" customWidth="1"/>
    <col min="5" max="16384" width="9.140625" style="8"/>
  </cols>
  <sheetData>
    <row r="1" spans="1:4" ht="15" customHeight="1" x14ac:dyDescent="0.25">
      <c r="A1" s="4" t="s">
        <v>1</v>
      </c>
      <c r="B1" s="5"/>
      <c r="C1" s="6"/>
      <c r="D1" s="7"/>
    </row>
    <row r="2" spans="1:4" ht="15" customHeight="1" x14ac:dyDescent="0.25">
      <c r="A2" s="5"/>
      <c r="B2" s="5"/>
      <c r="C2" s="6"/>
      <c r="D2" s="7"/>
    </row>
    <row r="3" spans="1:4" ht="15" customHeight="1" x14ac:dyDescent="0.25">
      <c r="A3" s="5"/>
      <c r="B3" s="9" t="s">
        <v>2</v>
      </c>
      <c r="C3" s="10"/>
      <c r="D3" s="11" t="s">
        <v>3</v>
      </c>
    </row>
    <row r="4" spans="1:4" ht="15" customHeight="1" x14ac:dyDescent="0.25">
      <c r="A4" s="5"/>
      <c r="B4" s="9"/>
      <c r="C4" s="10"/>
      <c r="D4" s="12"/>
    </row>
    <row r="5" spans="1:4" ht="15" customHeight="1" x14ac:dyDescent="0.25">
      <c r="A5" s="5"/>
      <c r="B5" s="9" t="s">
        <v>9</v>
      </c>
      <c r="C5" s="10" t="s">
        <v>10</v>
      </c>
      <c r="D5" s="11"/>
    </row>
    <row r="6" spans="1:4" ht="15" customHeight="1" x14ac:dyDescent="0.25">
      <c r="A6" s="5"/>
      <c r="B6" s="9"/>
      <c r="C6" s="13" t="s">
        <v>4</v>
      </c>
      <c r="D6" s="14">
        <v>801</v>
      </c>
    </row>
    <row r="7" spans="1:4" ht="15" customHeight="1" x14ac:dyDescent="0.25">
      <c r="A7" s="5"/>
      <c r="B7" s="9"/>
      <c r="C7" s="13" t="s">
        <v>5</v>
      </c>
      <c r="D7" s="14">
        <v>534</v>
      </c>
    </row>
    <row r="8" spans="1:4" ht="15" customHeight="1" x14ac:dyDescent="0.25">
      <c r="A8" s="5"/>
      <c r="B8" s="9"/>
      <c r="C8" s="13" t="s">
        <v>6</v>
      </c>
      <c r="D8" s="14">
        <v>657</v>
      </c>
    </row>
    <row r="9" spans="1:4" ht="15" customHeight="1" x14ac:dyDescent="0.25">
      <c r="A9" s="5"/>
      <c r="B9" s="9"/>
      <c r="C9" s="13" t="s">
        <v>7</v>
      </c>
      <c r="D9" s="14">
        <v>438</v>
      </c>
    </row>
    <row r="10" spans="1:4" ht="15" customHeight="1" x14ac:dyDescent="0.25">
      <c r="A10" s="5"/>
      <c r="B10" s="9"/>
      <c r="C10" s="13" t="s">
        <v>8</v>
      </c>
      <c r="D10" s="14">
        <v>657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N16"/>
    </sheetView>
  </sheetViews>
  <sheetFormatPr defaultRowHeight="15" x14ac:dyDescent="0.25"/>
  <cols>
    <col min="10" max="10" width="15.140625" customWidth="1"/>
  </cols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7CA6F84089CA440B6A619998EFA170D" ma:contentTypeVersion="8" ma:contentTypeDescription="Opret et nyt dokument." ma:contentTypeScope="" ma:versionID="0764c32d547ab665482d9f931a42a8ed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2f10ba0d9ee9b3209793aca8ec42f35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FD4822B-0231-458F-99D6-D608A90958E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3D54B40-7A0F-4F0C-94A4-9E93D7E72C4F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0A35C4F0-F947-4891-A9EF-9B229A7CC09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Nyt budget samt noter</vt:lpstr>
      <vt:lpstr>Satser</vt:lpstr>
      <vt:lpstr>Ark2</vt:lpstr>
    </vt:vector>
  </TitlesOfParts>
  <Company>EUC Nordvest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Monica Dragsbæk</dc:creator>
  <cp:lastModifiedBy>Monica Klein</cp:lastModifiedBy>
  <cp:lastPrinted>2017-03-03T08:14:06Z</cp:lastPrinted>
  <dcterms:created xsi:type="dcterms:W3CDTF">2011-12-20T12:55:24Z</dcterms:created>
  <dcterms:modified xsi:type="dcterms:W3CDTF">2017-07-18T11:19:02Z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0x01010007CA6F84089CA440B6A619998EFA170D</vt:lpwstr>
  </property>
  <property fmtid="{D5CDD505-2E9C-101B-9397-08002B2CF9AE}" pid="3" name="IsMyDocuments">
    <vt:bool>true</vt:bool>
  </property>
</Properties>
</file>